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README" sheetId="1" state="visible" r:id="rId3"/>
    <sheet name="License" sheetId="2" state="visible" r:id="rId4"/>
    <sheet name="Dashboard" sheetId="3" state="visible" r:id="rId5"/>
    <sheet name="RTM" sheetId="4" state="visible" r:id="rId6"/>
    <sheet name="Lists" sheetId="5" state="visible" r:id="rId7"/>
  </sheets>
  <definedNames>
    <definedName function="false" hidden="false" localSheetId="3" name="_xlnm.Print_Titles" vbProcedure="false">RTM!$1:$5</definedName>
    <definedName function="false" hidden="true" localSheetId="3" name="_xlnm._FilterDatabase" vbProcedure="false">RTM!$A$4:$AN$202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<sst xmlns="http://schemas.openxmlformats.org/spreadsheetml/2006/main" count="4706" uniqueCount="1154">
  <si>
    <t xml:space="preserve">AI Security Requirements Traceability Matrix</t>
  </si>
  <si>
    <t xml:space="preserve">Built from the AI Security Wiki (https://nachi065.github.io/AI-Security-Wiki/) on 29 October 2026. Version 1.4.</t>
  </si>
  <si>
    <t xml:space="preserve">About</t>
  </si>
  <si>
    <t xml:space="preserve">What this is</t>
  </si>
  <si>
    <t xml:space="preserve">A requirements matrix for the security review of one AI system, built in-house or bought. It holds 198 requirements: each sentence of the Implementation Expectation of the wiki's 46 controls is one requirement, so every row traces to a control, the risks it treats, the wiki test cases and the framework and regional crosswalks.</t>
  </si>
  <si>
    <t xml:space="preserve">Who fills what</t>
  </si>
  <si>
    <t xml:space="preserve">The assessor sets scope and Mandatory, then reviews. The vendor or system owner completes only the blue columns. A "Yes" with no implementation detail counts as unanswered, and the Response Check column flags it.</t>
  </si>
  <si>
    <t xml:space="preserve">Not legal advice</t>
  </si>
  <si>
    <t xml:space="preserve">Framework and regulatory references come from the wiki crosswalks, which mark many regional sources as reported rather than verified. Check them against each source before using the matrix as compliance evidence.</t>
  </si>
  <si>
    <t xml:space="preserve">Regional columns</t>
  </si>
  <si>
    <t xml:space="preserve">The grouped columns after ISO/IEC 27001 list the rows of each region's Regulatory Crosswalk page (for example GCC U1 or EU E3) that name the control. Expand the group with the + above the column letters.</t>
  </si>
  <si>
    <t xml:space="preserve">Defaults to agree</t>
  </si>
  <si>
    <t xml:space="preserve">In Scope starts at Y for every row, and Mandatory starts at Y for Baseline-tier controls and N for Advanced-tier controls (orange). The assurance stage and deployment model are the wiki's starting values for each control.</t>
  </si>
  <si>
    <t xml:space="preserve">How to use</t>
  </si>
  <si>
    <t xml:space="preserve">1. Scope</t>
  </si>
  <si>
    <t xml:space="preserve">Filter by Assurance Stage (the gate you are at), Deployment Model and Tier. Set In Scope = N on rows that do not apply, and adjust Mandatory to your risk appetite.</t>
  </si>
  <si>
    <t xml:space="preserve">2. Issue</t>
  </si>
  <si>
    <t xml:space="preserve">Send the RTM sheet to the vendor or system owner. You can hide the white framework columns first; the regional crosswalk columns are grouped and hidden already.</t>
  </si>
  <si>
    <t xml:space="preserve">3. Collect</t>
  </si>
  <si>
    <t xml:space="preserve">The vendor completes Vendor Response, Implementation Details, Evidence Type and Evidence Link.</t>
  </si>
  <si>
    <t xml:space="preserve">4. Review</t>
  </si>
  <si>
    <t xml:space="preserve">Check the evidence against the control's Evidence Required and Audit Test Procedure. Set Review Status, and record comments, remediation owner and due date for every Gap.</t>
  </si>
  <si>
    <t xml:space="preserve">5. Report</t>
  </si>
  <si>
    <t xml:space="preserve">The Dashboard shows progress, the response profile and gaps by stage, deployment model and family. Record accepted risks in your risk register and exceptions under AI-CTRL-037.</t>
  </si>
  <si>
    <t xml:space="preserve">6. Repeat</t>
  </si>
  <si>
    <t xml:space="preserve">Reassess at least annually and on material change: new model or version, new data source, new tool or a change in autonomy.</t>
  </si>
  <si>
    <t xml:space="preserve">Assurance stages</t>
  </si>
  <si>
    <t xml:space="preserve">Discovery</t>
  </si>
  <si>
    <t xml:space="preserve">Before design or purchase: the use case is registered, tiered and in scope of policy, and the supplier is screened.</t>
  </si>
  <si>
    <t xml:space="preserve">Design</t>
  </si>
  <si>
    <t xml:space="preserve">The design: data flows, authority, oversight and impact assessments.</t>
  </si>
  <si>
    <t xml:space="preserve">Implementation</t>
  </si>
  <si>
    <t xml:space="preserve">The built or configured system before release: inspection, access, output handling and testing.</t>
  </si>
  <si>
    <t xml:space="preserve">Platform</t>
  </si>
  <si>
    <t xml:space="preserve">The hosting platform and infrastructure: isolation, hardening, logging, resilience and cost limits.</t>
  </si>
  <si>
    <t xml:space="preserve">Production</t>
  </si>
  <si>
    <t xml:space="preserve">The system in operation: monitoring, response, containment, audit evidence and regulator duties.</t>
  </si>
  <si>
    <t xml:space="preserve">Deployment models</t>
  </si>
  <si>
    <t xml:space="preserve">All</t>
  </si>
  <si>
    <t xml:space="preserve">Applies however the system is delivered. For SaaS or AIaaS the supplier provides the evidence.</t>
  </si>
  <si>
    <t xml:space="preserve">Cloud</t>
  </si>
  <si>
    <t xml:space="preserve">Applies when any part is hosted by a cloud or AI service provider.</t>
  </si>
  <si>
    <t xml:space="preserve">PaaS/IaaS/Self-hosted</t>
  </si>
  <si>
    <t xml:space="preserve">Applies when you host or operate the model, pipeline or infrastructure. For SaaS and AIaaS, ask for the supplier's assurance evidence instead.</t>
  </si>
  <si>
    <t xml:space="preserve">Colour legend</t>
  </si>
  <si>
    <t xml:space="preserve">White cells</t>
  </si>
  <si>
    <t xml:space="preserve">Copied from the wiki.</t>
  </si>
  <si>
    <t xml:space="preserve">Yellow cells</t>
  </si>
  <si>
    <t xml:space="preserve">Assessor enters or chooses a value.</t>
  </si>
  <si>
    <t xml:space="preserve">Blue cells</t>
  </si>
  <si>
    <t xml:space="preserve">Vendor or system owner completes.</t>
  </si>
  <si>
    <t xml:space="preserve">Orange cells</t>
  </si>
  <si>
    <t xml:space="preserve">Workbook defaults awaiting agreement.</t>
  </si>
  <si>
    <t xml:space="preserve">Grey cells</t>
  </si>
  <si>
    <t xml:space="preserve">Calculated. Do not overwrite.</t>
  </si>
  <si>
    <t xml:space="preserve">Sheets</t>
  </si>
  <si>
    <t xml:space="preserve">RTM</t>
  </si>
  <si>
    <t xml:space="preserve">198 requirements with scoping, vendor and assessor columns.</t>
  </si>
  <si>
    <t xml:space="preserve">Dashboard</t>
  </si>
  <si>
    <t xml:space="preserve">Live counts over the RTM sheet.</t>
  </si>
  <si>
    <t xml:space="preserve">Lists</t>
  </si>
  <si>
    <t xml:space="preserve">Dropdown values, including the 13 evidence types.</t>
  </si>
  <si>
    <t xml:space="preserve">License</t>
  </si>
  <si>
    <t xml:space="preserve">Copyright, CC BY-SA 4.0 notice, credit, ShareAlike and disclaimer.</t>
  </si>
  <si>
    <t xml:space="preserve">Sources (AI Security Wiki pages)</t>
  </si>
  <si>
    <t xml:space="preserve">AI Security Control Objectives Library</t>
  </si>
  <si>
    <t xml:space="preserve">https://nachi065.github.io/AI-Security-Wiki/03_Control_Library/03_AI_Security_Control_Objectives_Library.html</t>
  </si>
  <si>
    <t xml:space="preserve">Risk, Control and Test Traceability</t>
  </si>
  <si>
    <t xml:space="preserve">https://nachi065.github.io/AI-Security-Wiki/02_Risk_Management/02G_Risk_Control_Test_Traceability.html</t>
  </si>
  <si>
    <t xml:space="preserve">AI Security Vendor Evaluation Master Framework</t>
  </si>
  <si>
    <t xml:space="preserve">https://nachi065.github.io/AI-Security-Wiki/05_Vendor_Evaluation/11_AI_Security_Vendor_Evaluation_Master_Framework.html</t>
  </si>
  <si>
    <t xml:space="preserve">Framework Crosswalks</t>
  </si>
  <si>
    <t xml:space="preserve">https://nachi065.github.io/AI-Security-Wiki/23_Framework_Crosswalks/index.html</t>
  </si>
  <si>
    <t xml:space="preserve">AI Security Requirements Traceability Matrix Copyright (c) 2026 Nachiket Sathaye and Ankush Jain. Licensed under CC BY-SA 4.0 (https://creativecommons.org/licenses/by-sa/4.0/). See the License sheet for credit, ShareAlike and third-party terms.</t>
  </si>
  <si>
    <t xml:space="preserve">AI Security Requirements Traceability Matrix, version 1.4, 29 October 2026</t>
  </si>
  <si>
    <t xml:space="preserve">License notice</t>
  </si>
  <si>
    <t xml:space="preserve">Work</t>
  </si>
  <si>
    <t xml:space="preserve">Copyright</t>
  </si>
  <si>
    <t xml:space="preserve">Copyright (c) 2026 Nachiket Sathaye and Ankush Jain.</t>
  </si>
  <si>
    <t xml:space="preserve">This work, AI Security Requirements Traceability Matrix,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</si>
  <si>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</si>
  <si>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</si>
  <si>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</si>
  <si>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</si>
  <si>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</si>
  <si>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</si>
  <si>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</si>
  <si>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</si>
  <si>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</si>
  <si>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</si>
  <si>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Security Requirements Traceability Matrix" by Nachiket Sathaye and Ankush Jain, AI Security Wiki (https://nachi065.github.io/AI-Security-Wiki/), licensed under CC BY-SA 4.0 (https://creativecommons.org/licenses/by-sa/4.0/).</t>
  </si>
  <si>
    <t xml:space="preserve">If you change it</t>
  </si>
  <si>
    <t xml:space="preserve">Say that you changed it and keep earlier change notes, for example: "Adapted from AI Security Requirements Traceability Matrix by Nachiket Sathaye and Ankush Jain (https://nachi065.github.io/AI-Security-Wiki/), CC BY-SA 4.0. Changes: set scope, added our own responses and review results."</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</si>
  <si>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</si>
  <si>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</si>
  <si>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</si>
  <si>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</si>
  <si>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</si>
  <si>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</si>
  <si>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</si>
  <si>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</si>
  <si>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</si>
  <si>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</si>
  <si>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</si>
  <si>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</si>
  <si>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</si>
  <si>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</si>
  <si>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</si>
  <si>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</si>
  <si>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</si>
  <si>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Assessment Dashboard</t>
  </si>
  <si>
    <t xml:space="preserve">Live counts over the RTM sheet. Only rows with In Scope = Y are counted, except the All rows column.</t>
  </si>
  <si>
    <t xml:space="preserve">Overall</t>
  </si>
  <si>
    <t xml:space="preserve">Measure</t>
  </si>
  <si>
    <t xml:space="preserve">Count</t>
  </si>
  <si>
    <t xml:space="preserve">Requirements in the matrix</t>
  </si>
  <si>
    <t xml:space="preserve">In scope</t>
  </si>
  <si>
    <t xml:space="preserve">In scope and mandatory</t>
  </si>
  <si>
    <t xml:space="preserve">Vendor responded</t>
  </si>
  <si>
    <t xml:space="preserve">Awaiting vendor response</t>
  </si>
  <si>
    <t xml:space="preserve">Answered Yes or Partial with no detail</t>
  </si>
  <si>
    <t xml:space="preserve">Review complete (not Pending)</t>
  </si>
  <si>
    <t xml:space="preserve">Share of in-scope reviews complete</t>
  </si>
  <si>
    <t xml:space="preserve">Open gaps on mandatory requirements</t>
  </si>
  <si>
    <t xml:space="preserve">Review status (in scope)</t>
  </si>
  <si>
    <t xml:space="preserve">Review Status</t>
  </si>
  <si>
    <t xml:space="preserve">Share</t>
  </si>
  <si>
    <t xml:space="preserve">Pending</t>
  </si>
  <si>
    <t xml:space="preserve">Accepted</t>
  </si>
  <si>
    <t xml:space="preserve">Gap</t>
  </si>
  <si>
    <t xml:space="preserve">Risk Accepted</t>
  </si>
  <si>
    <t xml:space="preserve">Not Applicable</t>
  </si>
  <si>
    <t xml:space="preserve">Vendor response (in scope)</t>
  </si>
  <si>
    <t xml:space="preserve">Vendor Response</t>
  </si>
  <si>
    <t xml:space="preserve">Yes</t>
  </si>
  <si>
    <t xml:space="preserve">No</t>
  </si>
  <si>
    <t xml:space="preserve">Partial</t>
  </si>
  <si>
    <t xml:space="preserve">N/A</t>
  </si>
  <si>
    <t xml:space="preserve">By assurance stage</t>
  </si>
  <si>
    <t xml:space="preserve">Assurance Stage</t>
  </si>
  <si>
    <t xml:space="preserve">All rows</t>
  </si>
  <si>
    <t xml:space="preserve">Mandatory</t>
  </si>
  <si>
    <t xml:space="preserve">Reviewed</t>
  </si>
  <si>
    <t xml:space="preserve">By deployment model</t>
  </si>
  <si>
    <t xml:space="preserve">Deployment Model</t>
  </si>
  <si>
    <t xml:space="preserve">By control family</t>
  </si>
  <si>
    <t xml:space="preserve">Family</t>
  </si>
  <si>
    <t xml:space="preserve">Agents and Tools</t>
  </si>
  <si>
    <t xml:space="preserve">Application Runtime</t>
  </si>
  <si>
    <t xml:space="preserve">Assurance and Testing</t>
  </si>
  <si>
    <t xml:space="preserve">Cost and Abuse</t>
  </si>
  <si>
    <t xml:space="preserve">Data and Retrieval</t>
  </si>
  <si>
    <t xml:space="preserve">Detection and Response</t>
  </si>
  <si>
    <t xml:space="preserve">Discovery and Workforce AI Use</t>
  </si>
  <si>
    <t xml:space="preserve">Governance and Compliance</t>
  </si>
  <si>
    <t xml:space="preserve">Identity and Access</t>
  </si>
  <si>
    <t xml:space="preserve">Model, Training and Pipeline</t>
  </si>
  <si>
    <t xml:space="preserve">Supply Chain, Infrastructure and Resilience</t>
  </si>
  <si>
    <t xml:space="preserve">All rows counts every row in the matrix. The other columns count only rows with In Scope = Y.</t>
  </si>
  <si>
    <t xml:space="preserve">One row per requirement. White: from the wiki. Yellow: assessor. Blue: vendor or system owner. Orange: default to confirm. Grey: calculated.</t>
  </si>
  <si>
    <t xml:space="preserve">Req ID</t>
  </si>
  <si>
    <t xml:space="preserve">Control ID</t>
  </si>
  <si>
    <t xml:space="preserve">Control</t>
  </si>
  <si>
    <t xml:space="preserve">Tier</t>
  </si>
  <si>
    <t xml:space="preserve">Requirement</t>
  </si>
  <si>
    <t xml:space="preserve">Evidence Required (control)</t>
  </si>
  <si>
    <t xml:space="preserve">Audit Test Procedure (control)</t>
  </si>
  <si>
    <t xml:space="preserve">Risks Treated</t>
  </si>
  <si>
    <t xml:space="preserve">Wiki Test Cases</t>
  </si>
  <si>
    <t xml:space="preserve">NIST AI RMF</t>
  </si>
  <si>
    <t xml:space="preserve">ISO/IEC 42001</t>
  </si>
  <si>
    <t xml:space="preserve">OWASP</t>
  </si>
  <si>
    <t xml:space="preserve">ISO/IEC 27001</t>
  </si>
  <si>
    <t xml:space="preserve">GCC crosswalk items</t>
  </si>
  <si>
    <t xml:space="preserve">EU crosswalk items</t>
  </si>
  <si>
    <t xml:space="preserve">UK crosswalk items</t>
  </si>
  <si>
    <t xml:space="preserve">US crosswalk items</t>
  </si>
  <si>
    <t xml:space="preserve">India crosswalk items</t>
  </si>
  <si>
    <t xml:space="preserve">Singapore crosswalk items</t>
  </si>
  <si>
    <t xml:space="preserve">Australia crosswalk items</t>
  </si>
  <si>
    <t xml:space="preserve">Brazil crosswalk items</t>
  </si>
  <si>
    <t xml:space="preserve">Canada crosswalk items</t>
  </si>
  <si>
    <t xml:space="preserve">China crosswalk items</t>
  </si>
  <si>
    <t xml:space="preserve">Japan crosswalk items</t>
  </si>
  <si>
    <t xml:space="preserve">South Korea crosswalk items</t>
  </si>
  <si>
    <t xml:space="preserve">Hong Kong crosswalk items</t>
  </si>
  <si>
    <t xml:space="preserve">In Scope</t>
  </si>
  <si>
    <t xml:space="preserve">Implementation Details</t>
  </si>
  <si>
    <t xml:space="preserve">Evidence Type</t>
  </si>
  <si>
    <t xml:space="preserve">Evidence Link</t>
  </si>
  <si>
    <t xml:space="preserve">Assessor Comments</t>
  </si>
  <si>
    <t xml:space="preserve">Remediation Owner</t>
  </si>
  <si>
    <t xml:space="preserve">Due Date</t>
  </si>
  <si>
    <t xml:space="preserve">Response Check</t>
  </si>
  <si>
    <t xml:space="preserve">AI-CTRL-001.R1</t>
  </si>
  <si>
    <t xml:space="preserve">AI-CTRL-001</t>
  </si>
  <si>
    <t xml:space="preserve">AI Discovery</t>
  </si>
  <si>
    <t xml:space="preserve">Baseline</t>
  </si>
  <si>
    <t xml:space="preserve">Discover AI services, extensions, plugins, embedded SaaS AI features and API usage continuously.</t>
  </si>
  <si>
    <t xml:space="preserve">AI service inventory; usage dashboard; user and device reports; classification of each service.</t>
  </si>
  <si>
    <t xml:space="preserve">Seed a known set of approved and unapproved AI tools in a test group and compare the discovered inventory with ground truth. Confirm new tools appear within the stated interval.</t>
  </si>
  <si>
    <t xml:space="preserve">AI-R02</t>
  </si>
  <si>
    <t xml:space="preserve">GOVERN 1.6; GOVERN 6.1</t>
  </si>
  <si>
    <t xml:space="preserve">A.4.2 Resource documentation</t>
  </si>
  <si>
    <t xml:space="preserve">LLM03:2025 Supply Chain</t>
  </si>
  <si>
    <t xml:space="preserve">A.5.9 Inventory of information and other associated assets; A.8.16 Monitoring activities; A.8.23 Web filtering; A.8.1 User endpoint devices</t>
  </si>
  <si>
    <t xml:space="preserve">MAS 2.3 to 2.5; MAS 4.2 to 4.4; SG5</t>
  </si>
  <si>
    <t xml:space="preserve">Inventory: an up-to-date inventory of approve</t>
  </si>
  <si>
    <t xml:space="preserve">Y</t>
  </si>
  <si>
    <t xml:space="preserve">AI-CTRL-001.R2</t>
  </si>
  <si>
    <t xml:space="preserve">Classify each as approved, tolerated or unapproved, and attribute use to a user, device and application.</t>
  </si>
  <si>
    <t xml:space="preserve">AI-CTRL-001.R3</t>
  </si>
  <si>
    <t xml:space="preserve">Look for local models and agents and for AI add-ons such as browser extensions and IDE plug-ins on endpoints, use software allow-listing to stop unapproved installs, and watch network traffic for AI patterns such as Model Context Protocol (MCP) connections.</t>
  </si>
  <si>
    <t xml:space="preserve">AI-CTRL-001.R4</t>
  </si>
  <si>
    <t xml:space="preserve">Policy and training alone do not stop shadow AI.</t>
  </si>
  <si>
    <t xml:space="preserve">AI-CTRL-002.R1</t>
  </si>
  <si>
    <t xml:space="preserve">AI-CTRL-002</t>
  </si>
  <si>
    <t xml:space="preserve">Prompt Inspection</t>
  </si>
  <si>
    <t xml:space="preserve">Inspect prompts in line or at the endpoint for classified data, personal data, credentials and source code.</t>
  </si>
  <si>
    <t xml:space="preserve">Prompt detection logs; policy outcomes; sampled test results by data type.</t>
  </si>
  <si>
    <t xml:space="preserve">Submit a labelled set of sensitive and benign prompts through each channel. Measure detection rate and false positives, and confirm each detection is logged with user, device and destination.</t>
  </si>
  <si>
    <t xml:space="preserve">AI-R01, AI-R03, AI-R27</t>
  </si>
  <si>
    <t xml:space="preserve">MEASURE 2.10; MANAGE 4.1</t>
  </si>
  <si>
    <t xml:space="preserve">A.9.2 Processes for responsible use of AI systems</t>
  </si>
  <si>
    <t xml:space="preserve">LLM02:2025 Sensitive Information Disclosure</t>
  </si>
  <si>
    <t xml:space="preserve">A.5.12 Classification of information; A.8.11 Data masking; A.8.12 Data leakage prevention; A.8.1 User endpoint devices</t>
  </si>
  <si>
    <t xml:space="preserve">S3</t>
  </si>
  <si>
    <t xml:space="preserve">AI-CTRL-002.R2</t>
  </si>
  <si>
    <t xml:space="preserve">Apply the data classification scheme already in use, and record the policy outcome for every detection.</t>
  </si>
  <si>
    <t xml:space="preserve">AI-CTRL-003.R1</t>
  </si>
  <si>
    <t xml:space="preserve">AI-CTRL-003</t>
  </si>
  <si>
    <t xml:space="preserve">File Upload Protection</t>
  </si>
  <si>
    <t xml:space="preserve">Advanced</t>
  </si>
  <si>
    <t xml:space="preserve">Inspect files sent to AI services, including nested archives, images and documents with embedded content.</t>
  </si>
  <si>
    <t xml:space="preserve">Upload block and warn logs; classification policy; file type coverage matrix.</t>
  </si>
  <si>
    <t xml:space="preserve">Upload labelled test files of each supported type to approved and unapproved services. Confirm the expected action and log entry for each.</t>
  </si>
  <si>
    <t xml:space="preserve">A.5.10 Acceptable use of information and other associated assets; A.5.14 Information transfer; A.8.12 Data leakage prevention</t>
  </si>
  <si>
    <t xml:space="preserve">N</t>
  </si>
  <si>
    <t xml:space="preserve">AI-CTRL-003.R2</t>
  </si>
  <si>
    <t xml:space="preserve">Block or warn according to classification and the approval status of the destination.</t>
  </si>
  <si>
    <t xml:space="preserve">AI-CTRL-004.R1</t>
  </si>
  <si>
    <t xml:space="preserve">AI-CTRL-004</t>
  </si>
  <si>
    <t xml:space="preserve">IDE AI Governance</t>
  </si>
  <si>
    <t xml:space="preserve">Inventory AI coding assistants and extensions.</t>
  </si>
  <si>
    <t xml:space="preserve">IDE assistant inventory; secret and source code detection events; repository policy; developer rules.</t>
  </si>
  <si>
    <t xml:space="preserve">Send seeded secrets and marked source code through each approved assistant. Confirm detection, policy action and attribution. Confirm an unapproved extension is discovered.</t>
  </si>
  <si>
    <t xml:space="preserve">AI-R04, AI-R22</t>
  </si>
  <si>
    <t xml:space="preserve">GOVERN 6.1; MEASURE 2.10; MANAGE 4.1</t>
  </si>
  <si>
    <t xml:space="preserve">A.9.2 Processes for responsible use of AI systems; A.4.4 Tooling resources</t>
  </si>
  <si>
    <t xml:space="preserve">LLM02:2025 Sensitive Information Disclosure; LLM03:2025 Supply Chain</t>
  </si>
  <si>
    <t xml:space="preserve">A.8.4 Access to source code; A.8.12 Data leakage prevention; A.8.28 Secure coding; A.8.1 User endpoint devices</t>
  </si>
  <si>
    <t xml:space="preserve">AI-CTRL-004.R2</t>
  </si>
  <si>
    <t xml:space="preserve">Detect proprietary source code and secrets in assistant traffic, restrict assistants on restricted repositories, and attribute activity to developer, device and IDE.</t>
  </si>
  <si>
    <t xml:space="preserve">AI-CTRL-005.R1</t>
  </si>
  <si>
    <t xml:space="preserve">AI-CTRL-005</t>
  </si>
  <si>
    <t xml:space="preserve">Runtime AI Security</t>
  </si>
  <si>
    <t xml:space="preserve">Inspect inputs and retrieved content for direct and indirect prompt injection and jailbreaks.</t>
  </si>
  <si>
    <t xml:space="preserve">Prompt injection test reports; runtime logs; guardrail configuration; bypass test results.</t>
  </si>
  <si>
    <t xml:space="preserve">Run the prompt injection and jailbreak cases with the control disabled and then enabled. Record attack success rate in both states against the agreed threshold.</t>
  </si>
  <si>
    <t xml:space="preserve">AI-R05, AI-R06, AI-R24</t>
  </si>
  <si>
    <t xml:space="preserve">MEASURE 2.7; MANAGE 1.3</t>
  </si>
  <si>
    <t xml:space="preserve">A.6.2.4 AI system verification and validation; A.6.2.6 AI system operation and monitoring</t>
  </si>
  <si>
    <t xml:space="preserve">LLM01:2025 Prompt Injection; LLM07:2025 System Prompt Leakage; ASI01 Agent Goal Hijack</t>
  </si>
  <si>
    <t xml:space="preserve">A.8.16 Monitoring activities; A.8.26 Application security requirements; A.8.27 Secure system architecture and engineering principles</t>
  </si>
  <si>
    <t xml:space="preserve">S6; S7; U2; U11</t>
  </si>
  <si>
    <t xml:space="preserve">E5; E7; E17</t>
  </si>
  <si>
    <t xml:space="preserve">UK10</t>
  </si>
  <si>
    <t xml:space="preserve">US3</t>
  </si>
  <si>
    <t xml:space="preserve">IN8; IN10; IN11</t>
  </si>
  <si>
    <t xml:space="preserve">MAS 5.16; SG2; SG5; SG7; SG8</t>
  </si>
  <si>
    <t xml:space="preserve">AU8</t>
  </si>
  <si>
    <t xml:space="preserve">CN7</t>
  </si>
  <si>
    <t xml:space="preserve">KR4</t>
  </si>
  <si>
    <t xml:space="preserve">HK5; Risk management frameworks: data within appro</t>
  </si>
  <si>
    <t xml:space="preserve">AI-CTRL-005.R2</t>
  </si>
  <si>
    <t xml:space="preserve">Treat retrieved text as untrusted data.</t>
  </si>
  <si>
    <t xml:space="preserve">AI-CTRL-005.R3</t>
  </si>
  <si>
    <t xml:space="preserve">Protect the system prompt, and keep high-privilege tools out of sessions that read untrusted content.</t>
  </si>
  <si>
    <t xml:space="preserve">AI-CTRL-006.R1</t>
  </si>
  <si>
    <t xml:space="preserve">AI-CTRL-006</t>
  </si>
  <si>
    <t xml:space="preserve">Agent Governance</t>
  </si>
  <si>
    <t xml:space="preserve">Keep a registry of every agent with its owner, purpose, model, tools, data scope and approval status.</t>
  </si>
  <si>
    <t xml:space="preserve">Agent registry; tool access logs; delegation maps; shadow agent reports.</t>
  </si>
  <si>
    <t xml:space="preserve">Deploy registered and unregistered test agents. Confirm the unregistered agents are detected, and that owner, tools and data scope are correct for the registered ones.</t>
  </si>
  <si>
    <t xml:space="preserve">AI-R07, AI-R25</t>
  </si>
  <si>
    <t xml:space="preserve">GOVERN 1.6; MEASURE 2.4</t>
  </si>
  <si>
    <t xml:space="preserve">A.4.2 Resource documentation; A.6.2.6 AI system operation and monitoring</t>
  </si>
  <si>
    <t xml:space="preserve">LLM06:2025 Excessive Agency; ASI10 Rogue Agents; ASI07 Insecure Inter-Agent Communication</t>
  </si>
  <si>
    <t xml:space="preserve">A.5.15 Access control; A.8.15 Logging; A.8.16 Monitoring activities</t>
  </si>
  <si>
    <t xml:space="preserve">MAS 4.5 to 4.9; SG5</t>
  </si>
  <si>
    <t xml:space="preserve">HK9</t>
  </si>
  <si>
    <t xml:space="preserve">AI-CTRL-006.R2</t>
  </si>
  <si>
    <t xml:space="preserve">Monitor decisions, tool calls and delegation chains, and detect unregistered agents.</t>
  </si>
  <si>
    <t xml:space="preserve">AI-CTRL-006.R3</t>
  </si>
  <si>
    <t xml:space="preserve">Keep a map of which agents may call or delegate to which, and alert on links outside it.</t>
  </si>
  <si>
    <t xml:space="preserve">AI-CTRL-007.R1</t>
  </si>
  <si>
    <t xml:space="preserve">AI-CTRL-007</t>
  </si>
  <si>
    <t xml:space="preserve">Data Sovereignty</t>
  </si>
  <si>
    <t xml:space="preserve">Confirm where prompts, uploads, outputs, metadata and logs are processed and stored, including the control plane and support access.</t>
  </si>
  <si>
    <t xml:space="preserve">Residency attestation; retention configuration; training exclusion terms; administrative access logs.</t>
  </si>
  <si>
    <t xml:space="preserve">Trace a test prompt and upload end to end and verify processing and storage locations against the approved list. Verify retention settings by checking that expired records are gone.</t>
  </si>
  <si>
    <t xml:space="preserve">AI-R10</t>
  </si>
  <si>
    <t xml:space="preserve">GOVERN 1.1; GOVERN 6.1; MAP 4.1</t>
  </si>
  <si>
    <t xml:space="preserve">A.10.3 Suppliers; A.4.5 System and computing resources</t>
  </si>
  <si>
    <t xml:space="preserve">None published in the OWASP Top 10 lists. The wiki's own identifier applies: AI-CTRL-007.</t>
  </si>
  <si>
    <t xml:space="preserve">A.5.14 Information transfer; A.5.23 Information security for use of cloud services; A.5.31 Legal, statutory, regulatory and contractual requirements; A.5.33 Protection of records; A.8.10 Information deletion</t>
  </si>
  <si>
    <t xml:space="preserve">Q1; S1; S10; U1; U7</t>
  </si>
  <si>
    <t xml:space="preserve">E2; E9</t>
  </si>
  <si>
    <t xml:space="preserve">UK2</t>
  </si>
  <si>
    <t xml:space="preserve">IN1; IN2</t>
  </si>
  <si>
    <t xml:space="preserve">SG4</t>
  </si>
  <si>
    <t xml:space="preserve">BR2</t>
  </si>
  <si>
    <t xml:space="preserve">CA2</t>
  </si>
  <si>
    <t xml:space="preserve">JP4</t>
  </si>
  <si>
    <t xml:space="preserve">KR7</t>
  </si>
  <si>
    <t xml:space="preserve">AI-CTRL-007.R2</t>
  </si>
  <si>
    <t xml:space="preserve">Configure retention and training exclusion, and record any cross-border transfer.</t>
  </si>
  <si>
    <t xml:space="preserve">AI-CTRL-008.R1</t>
  </si>
  <si>
    <t xml:space="preserve">AI-CTRL-008</t>
  </si>
  <si>
    <t xml:space="preserve">Auditability</t>
  </si>
  <si>
    <t xml:space="preserve">Log prompts, responses, uploads, retrieved sources, model calls, tool calls and policy decisions according to policy.</t>
  </si>
  <si>
    <t xml:space="preserve">Exportable audit records; log schema; retention policy; sample reconstruction.</t>
  </si>
  <si>
    <t xml:space="preserve">Pick a completed test interaction and reconstruct it from logs alone: who, what was sent, what was retrieved, what the model returned and what action followed.</t>
  </si>
  <si>
    <t xml:space="preserve">AI-R09, AI-R15, AI-R26</t>
  </si>
  <si>
    <t xml:space="preserve">MEASURE 2.4; MEASURE 2.8; MANAGE 4.1</t>
  </si>
  <si>
    <t xml:space="preserve">A.6.2.8 AI system recording of event logs</t>
  </si>
  <si>
    <t xml:space="preserve">None published in the OWASP Top 10 lists. The wiki's own identifier applies: AI-CTRL-008.</t>
  </si>
  <si>
    <t xml:space="preserve">A.5.28 Collection of evidence; A.5.33 Protection of records; A.8.15 Logging; A.8.17 Clock synchronization</t>
  </si>
  <si>
    <t xml:space="preserve">S6; S7; U11</t>
  </si>
  <si>
    <t xml:space="preserve">E1c; E7</t>
  </si>
  <si>
    <t xml:space="preserve">MAS 5.23; SG5; SG7</t>
  </si>
  <si>
    <t xml:space="preserve">Risk-commensurate management: materiality and</t>
  </si>
  <si>
    <t xml:space="preserve">AI-CTRL-008.R2</t>
  </si>
  <si>
    <t xml:space="preserve">Records must be timestamped, attributable, exportable and retained for the approved period.</t>
  </si>
  <si>
    <t xml:space="preserve">AI-CTRL-008.R3</t>
  </si>
  <si>
    <t xml:space="preserve">Record enough detail to validate, investigate, attribute and reconstruct each AI-assisted action, while masking or tokenising payment card and other sensitive data before it is written.</t>
  </si>
  <si>
    <t xml:space="preserve">AI-CTRL-009.R1</t>
  </si>
  <si>
    <t xml:space="preserve">AI-CTRL-009</t>
  </si>
  <si>
    <t xml:space="preserve">SOC Integration</t>
  </si>
  <si>
    <t xml:space="preserve">Forward AI security events to the SIEM with a documented schema.</t>
  </si>
  <si>
    <t xml:space="preserve">SIEM event IDs; parser mapping; detection rules; runbooks; alert samples.</t>
  </si>
  <si>
    <t xml:space="preserve">Trigger each AI event type in the lab and confirm it arrives in the SIEM within the stated time, parses correctly and raises the expected alert.</t>
  </si>
  <si>
    <t xml:space="preserve">AI-R09</t>
  </si>
  <si>
    <t xml:space="preserve">MEASURE 2.4; MEASURE 3.1; MANAGE 4.1</t>
  </si>
  <si>
    <t xml:space="preserve">A.6.2.6 AI system operation and monitoring; A.6.2.8 AI system recording of event logs</t>
  </si>
  <si>
    <t xml:space="preserve">None published in the OWASP Top 10 lists. The wiki's own identifier applies: AI-CTRL-009.</t>
  </si>
  <si>
    <t xml:space="preserve">A.5.25 Assessment and decision on information security events; A.8.15 Logging; A.8.16 Monitoring activities; A.5.37 Documented operating procedures</t>
  </si>
  <si>
    <t xml:space="preserve">U11</t>
  </si>
  <si>
    <t xml:space="preserve">MAS 5.23; SG5</t>
  </si>
  <si>
    <t xml:space="preserve">AI-CTRL-009.R2</t>
  </si>
  <si>
    <t xml:space="preserve">Build detections and runbooks for AI-specific events, and correlate them with identity, endpoint and network telemetry.</t>
  </si>
  <si>
    <t xml:space="preserve">AI-CTRL-010.R1</t>
  </si>
  <si>
    <t xml:space="preserve">AI-CTRL-010</t>
  </si>
  <si>
    <t xml:space="preserve">Policy Enforcement</t>
  </si>
  <si>
    <t xml:space="preserve">Apply graduated actions by user group, destination, data classification and risk.</t>
  </si>
  <si>
    <t xml:space="preserve">Policy configuration; action logs by type; exception register; bypass test results.</t>
  </si>
  <si>
    <t xml:space="preserve">For each policy action, run a matching test and confirm the action and log entry. Attempt documented bypass methods and record the result.</t>
  </si>
  <si>
    <t xml:space="preserve">AI-R01, AI-R02, AI-R03</t>
  </si>
  <si>
    <t xml:space="preserve">GOVERN 1.4; MANAGE 1.3</t>
  </si>
  <si>
    <t xml:space="preserve">A.9.2 Processes for responsible use of AI systems; A.2.2 AI policy</t>
  </si>
  <si>
    <t xml:space="preserve">A.5.10 Acceptable use of information and other associated assets; A.5.12 Classification of information; A.8.12 Data leakage prevention; A.8.23 Web filtering</t>
  </si>
  <si>
    <t xml:space="preserve">MAS 2.3 to 2.5; SG5</t>
  </si>
  <si>
    <t xml:space="preserve">AI-CTRL-010.R2</t>
  </si>
  <si>
    <t xml:space="preserve">Coach users at the point of use, resist simple bypass, and manage exceptions with an owner and expiry date.</t>
  </si>
  <si>
    <t xml:space="preserve">AI-CTRL-011.R1</t>
  </si>
  <si>
    <t xml:space="preserve">AI-CTRL-011</t>
  </si>
  <si>
    <t xml:space="preserve">AI Use-Case Registry and Risk Tiering</t>
  </si>
  <si>
    <t xml:space="preserve">Require intake and approval before deployment.</t>
  </si>
  <si>
    <t xml:space="preserve">Use-case registry; intake and approval records; tiering criteria; re-tiering history; rule that restricts unlisted AI and records of its enforcement.</t>
  </si>
  <si>
    <t xml:space="preserve">Sample use cases in production and confirm each has a registry entry, an owner and a tier consistent with the criteria. Sample registry entries and confirm they match what is deployed.</t>
  </si>
  <si>
    <t xml:space="preserve">AI-R02, AI-R18</t>
  </si>
  <si>
    <t xml:space="preserve">GOVERN 1.6; GOVERN 1.3; GOVERN 1.7; MAP 1.1</t>
  </si>
  <si>
    <t xml:space="preserve">A.4.2 Resource documentation; A.5.2 AI system impact assessment process; A.9.4 Intended use of the AI system</t>
  </si>
  <si>
    <t xml:space="preserve">None published in the OWASP Top 10 lists. The wiki's own identifier applies: AI-CTRL-011.</t>
  </si>
  <si>
    <t xml:space="preserve">A.5.8 Information security in project management; A.5.9 Inventory of information and other associated assets; A.5.12 Classification of information</t>
  </si>
  <si>
    <t xml:space="preserve">O1; Q4; U6; U9</t>
  </si>
  <si>
    <t xml:space="preserve">E1a; E14</t>
  </si>
  <si>
    <t xml:space="preserve">UK6; UK11; UK13</t>
  </si>
  <si>
    <t xml:space="preserve">US6</t>
  </si>
  <si>
    <t xml:space="preserve">IN5; IN6; IN7; IN8; IN13</t>
  </si>
  <si>
    <t xml:space="preserve">MAS 1.6, 2.1 to 2.2; MAS 4.2 to 4.4; MAS 4.5 to 4.9; MAS 4.10 to 4.13; MAS 5.26; SG5</t>
  </si>
  <si>
    <t xml:space="preserve">BR1</t>
  </si>
  <si>
    <t xml:space="preserve">CA4; CA6</t>
  </si>
  <si>
    <t xml:space="preserve">CN2</t>
  </si>
  <si>
    <t xml:space="preserve">HK1; HK5; Inventory: an up-to-date inventory of approve; Risk-commensurate management: materiality and; Use-case owners and human oversight: a named </t>
  </si>
  <si>
    <t xml:space="preserve">AI-CTRL-011.R2</t>
  </si>
  <si>
    <t xml:space="preserve">Record owner, purpose, data, model, users and autonomy for each use case.</t>
  </si>
  <si>
    <t xml:space="preserve">AI-CTRL-011.R3</t>
  </si>
  <si>
    <t xml:space="preserve">Assign a risk tier using published criteria, and re-tier when the use case changes.</t>
  </si>
  <si>
    <t xml:space="preserve">AI-CTRL-011.R4</t>
  </si>
  <si>
    <t xml:space="preserve">Define what counts as AI use, include third-party and embedded AI, and restrict AI that is not in the registry: block it or treat it as shadow AI to be approved or removed.</t>
  </si>
  <si>
    <t xml:space="preserve">AI-CTRL-012.R1</t>
  </si>
  <si>
    <t xml:space="preserve">AI-CTRL-012</t>
  </si>
  <si>
    <t xml:space="preserve">AI Policy, Roles and Acceptable Use</t>
  </si>
  <si>
    <t xml:space="preserve">Publish an AI policy and acceptable-use standard with scope, owner and review date.</t>
  </si>
  <si>
    <t xml:space="preserve">Approved policy; board-approved AI strategy and risk appetite with its review record; roles and responsibilities record; governance decision log; policy-to-control mapping; training and acknowledgement records; policy alignment record; employment and contractor terms covering AI use.</t>
  </si>
  <si>
    <t xml:space="preserve">Select policy statements and trace each to a control and to evidence that it operates. Confirm the policy was reviewed within its cycle.</t>
  </si>
  <si>
    <t xml:space="preserve">AI-R02, AI-R03, AI-R18, AI-R19, AI-R27, AI-R28</t>
  </si>
  <si>
    <t xml:space="preserve">GOVERN 1.2; GOVERN 1.4; GOVERN 2.1; GOVERN 2.2</t>
  </si>
  <si>
    <t xml:space="preserve">A.2.2 AI policy; A.2.4 Review of the AI policy; A.3.2 AI roles and responsibilities; A.2.3 Alignment with other organizational policies</t>
  </si>
  <si>
    <t xml:space="preserve">None published in the OWASP Top 10 lists. The wiki's own identifier applies: AI-CTRL-012.</t>
  </si>
  <si>
    <t xml:space="preserve">A.5.1 Policies for information security; A.5.2 Information security roles and responsibilities; A.5.4 Management responsibilities; A.5.10 Acceptable use of information and other associated assets; A.6.2 Terms and conditions of employment; A.6.4 Disciplinary process</t>
  </si>
  <si>
    <t xml:space="preserve">B2; Q3; S2; S3; U3; U4; U12</t>
  </si>
  <si>
    <t xml:space="preserve">E1a; E1b; E12; E17</t>
  </si>
  <si>
    <t xml:space="preserve">UK1; UK5; UK13</t>
  </si>
  <si>
    <t xml:space="preserve">US9; US12; US14; US15</t>
  </si>
  <si>
    <t xml:space="preserve">IN4; IN13</t>
  </si>
  <si>
    <t xml:space="preserve">MAS 1.5, 3.6; MAS 2.3 to 2.5; MAS 3.1 to 3.4; MAS 3.5; SG1; SG5</t>
  </si>
  <si>
    <t xml:space="preserve">AU1; AU4; AU7</t>
  </si>
  <si>
    <t xml:space="preserve">BR3</t>
  </si>
  <si>
    <t xml:space="preserve">CA5; CA8</t>
  </si>
  <si>
    <t xml:space="preserve">CN1; CN5</t>
  </si>
  <si>
    <t xml:space="preserve">JP1; JP2; JP3</t>
  </si>
  <si>
    <t xml:space="preserve">KR5; KR6</t>
  </si>
  <si>
    <t xml:space="preserve">Board and senior management accountability: t; HK1; HK2; HK5; HK6</t>
  </si>
  <si>
    <t xml:space="preserve">AI-CTRL-012.R2</t>
  </si>
  <si>
    <t xml:space="preserve">Have the board, or the body that holds that authority, approve an AI strategy that states the organization's approach to AI and its AI risk appetite, and review it at least annually.</t>
  </si>
  <si>
    <t xml:space="preserve">AI-CTRL-012.R3</t>
  </si>
  <si>
    <t xml:space="preserve">Define roles and decision rights across the three lines, and record governance decisions.</t>
  </si>
  <si>
    <t xml:space="preserve">AI-CTRL-012.R4</t>
  </si>
  <si>
    <t xml:space="preserve">Map each policy statement to a control in this library.</t>
  </si>
  <si>
    <t xml:space="preserve">AI-CTRL-012.R5</t>
  </si>
  <si>
    <t xml:space="preserve">Train users and reinforce the rules at the point of use.</t>
  </si>
  <si>
    <t xml:space="preserve">AI-CTRL-012.R6</t>
  </si>
  <si>
    <t xml:space="preserve">Align the AI policy with the information security, privacy, data and other organizational policies it touches, and record where they overlap or conflict.</t>
  </si>
  <si>
    <t xml:space="preserve">AI-CTRL-012.R7</t>
  </si>
  <si>
    <t xml:space="preserve">Include AI acceptable use in terms of employment and contractor agreements, and handle breaches through the existing disciplinary process.</t>
  </si>
  <si>
    <t xml:space="preserve">AI-CTRL-013.R1</t>
  </si>
  <si>
    <t xml:space="preserve">AI-CTRL-013</t>
  </si>
  <si>
    <t xml:space="preserve">Privacy and Regulatory Compliance</t>
  </si>
  <si>
    <t xml:space="preserve">Complete a privacy impact assessment for AI systems that process personal data.</t>
  </si>
  <si>
    <t xml:space="preserve">Impact assessments; records of processing; data subject request tests; evidence exports.</t>
  </si>
  <si>
    <t xml:space="preserve">Run a data subject access and deletion request against a test identity and confirm the data is found and removed across prompts, logs, indexes and memory.</t>
  </si>
  <si>
    <t xml:space="preserve">AI-R03, AI-R10, AI-R27, AI-R28</t>
  </si>
  <si>
    <t xml:space="preserve">GOVERN 1.1; MAP 5.1; MEASURE 2.10</t>
  </si>
  <si>
    <t xml:space="preserve">A.5.2 AI system impact assessment process; A.5.3 Documentation of AI system impact assessments; A.5.4 Assessing AI system impact on individuals or groups of individuals</t>
  </si>
  <si>
    <t xml:space="preserve">A.5.31 Legal, statutory, regulatory and contractual requirements; A.5.34 Privacy and protection of PII; A.8.10 Information deletion; A.8.11 Data masking</t>
  </si>
  <si>
    <t xml:space="preserve">B1; O2; Q1; S1; U1; U5; U6; U7</t>
  </si>
  <si>
    <t xml:space="preserve">E1c; E2; E3; E4; E17</t>
  </si>
  <si>
    <t xml:space="preserve">UK2; UK3; UK4</t>
  </si>
  <si>
    <t xml:space="preserve">US5; US8; US9; US17</t>
  </si>
  <si>
    <t xml:space="preserve">IN1; IN2; IN3; IN11</t>
  </si>
  <si>
    <t xml:space="preserve">MAS 5.4; SG4; SG5</t>
  </si>
  <si>
    <t xml:space="preserve">AU2; AU3; AU3a</t>
  </si>
  <si>
    <t xml:space="preserve">BR2; BR3</t>
  </si>
  <si>
    <t xml:space="preserve">CA2; CA3; CA7</t>
  </si>
  <si>
    <t xml:space="preserve">CN1; CN2; CN7; CN9</t>
  </si>
  <si>
    <t xml:space="preserve">Ethical use and fair treatment: no unfair bia; HK6; HK7; Risk management frameworks: data within appro</t>
  </si>
  <si>
    <t xml:space="preserve">AI-CTRL-013.R2</t>
  </si>
  <si>
    <t xml:space="preserve">Define lawful basis, minimization, retention and data subject request handling, including data held in prompts, logs, indexes and memory.</t>
  </si>
  <si>
    <t xml:space="preserve">AI-CTRL-014.R1</t>
  </si>
  <si>
    <t xml:space="preserve">AI-CTRL-014</t>
  </si>
  <si>
    <t xml:space="preserve">Third-Party and Vendor AI Assurance</t>
  </si>
  <si>
    <t xml:space="preserve">Evaluate vendors against the vendor evaluation framework.</t>
  </si>
  <si>
    <t xml:space="preserve">Vendor assessments; contract clauses; sub-processor list; model change notices; exit return or deletion confirmation.</t>
  </si>
  <si>
    <t xml:space="preserve">Sample AI vendors in use and confirm each has a current assessment and the required contract terms. Confirm the last model or terms change triggered a review.</t>
  </si>
  <si>
    <t xml:space="preserve">AI-R08, AI-R10, AI-R16</t>
  </si>
  <si>
    <t xml:space="preserve">GOVERN 6.1; GOVERN 6.2; MANAGE 3.1</t>
  </si>
  <si>
    <t xml:space="preserve">A.10.2 Allocating responsibilities; A.10.3 Suppliers</t>
  </si>
  <si>
    <t xml:space="preserve">A.5.19 Information security in supplier relationships; A.5.20 Addressing information security within supplier agreements; A.5.21 Managing information security in the ICT supply chain; A.5.22 Monitoring, review and change management of supplier services; A.5.23 Information security for use of cloud services; A.5.11 Return of assets</t>
  </si>
  <si>
    <t xml:space="preserve">U9</t>
  </si>
  <si>
    <t xml:space="preserve">E1e; E6; E9; E13; E15</t>
  </si>
  <si>
    <t xml:space="preserve">US15; US16; US17</t>
  </si>
  <si>
    <t xml:space="preserve">IN5; IN7; IN13</t>
  </si>
  <si>
    <t xml:space="preserve">MAS 5.10 to 5.11; SG5</t>
  </si>
  <si>
    <t xml:space="preserve">BR4</t>
  </si>
  <si>
    <t xml:space="preserve">JP6</t>
  </si>
  <si>
    <t xml:space="preserve">HK1; HK5; Risk management frameworks: data within appro</t>
  </si>
  <si>
    <t xml:space="preserve">AI-CTRL-014.R2</t>
  </si>
  <si>
    <t xml:space="preserve">Cover training use of customer data, retention, sub-processors, model changes and incident notification in contracts; by default the contract should bar the provider from using personal or confidential data to train or improve its models unless the organization has authorised it.</t>
  </si>
  <si>
    <t xml:space="preserve">AI-CTRL-014.R3</t>
  </si>
  <si>
    <t xml:space="preserve">Include audit rights, a right to have the service suspended, and exit and concentration risk where few providers can replace it.</t>
  </si>
  <si>
    <t xml:space="preserve">AI-CTRL-014.R4</t>
  </si>
  <si>
    <t xml:space="preserve">Re-evaluate when a vendor changes model or terms.</t>
  </si>
  <si>
    <t xml:space="preserve">AI-CTRL-014.R5</t>
  </si>
  <si>
    <t xml:space="preserve">Treat AI built into other products (document readers, content tools, chat widgets on payment pages) as a third-party service when it can reach sensitive data, list the provider with other service providers, and review its due diligence evidence on a set cycle.</t>
  </si>
  <si>
    <t xml:space="preserve">AI-CTRL-014.R6</t>
  </si>
  <si>
    <t xml:space="preserve">At contract end, have the provider return or delete the organization's data, fine-tuned models, embeddings and logs, and get written confirmation.</t>
  </si>
  <si>
    <t xml:space="preserve">AI-CTRL-015.R1</t>
  </si>
  <si>
    <t xml:space="preserve">AI-CTRL-015</t>
  </si>
  <si>
    <t xml:space="preserve">Human and Agent Identity</t>
  </si>
  <si>
    <t xml:space="preserve">Issue a unique identity to each agent and AI workload, with a named human sponsor.</t>
  </si>
  <si>
    <t xml:space="preserve">Identity registry; sponsor records; recertification results; orphaned identity report.</t>
  </si>
  <si>
    <t xml:space="preserve">Sample agent identities and confirm each has a sponsor and a current recertification. Remove a test sponsor and confirm the agent identity is flagged.</t>
  </si>
  <si>
    <t xml:space="preserve">AI-R07, AI-R22, AI-R25</t>
  </si>
  <si>
    <t xml:space="preserve">MEASURE 2.7; MEASURE 2.8</t>
  </si>
  <si>
    <t xml:space="preserve">None published in ISO/IEC 42001. The wiki's own identifier applies: AI-CTRL-015.</t>
  </si>
  <si>
    <t xml:space="preserve">LLM06:2025 Excessive Agency; ASI03 Identity &amp; Privilege Abuse; ASI07 Insecure Inter-Agent Communication</t>
  </si>
  <si>
    <t xml:space="preserve">A.5.16 Identity management; A.5.17 Authentication information; A.8.5 Secure authentication</t>
  </si>
  <si>
    <t xml:space="preserve">AI-CTRL-015.R2</t>
  </si>
  <si>
    <t xml:space="preserve">Do not share keys between workloads.</t>
  </si>
  <si>
    <t xml:space="preserve">AI-CTRL-015.R3</t>
  </si>
  <si>
    <t xml:space="preserve">Recertify identities on a schedule and remove them when the sponsor leaves or the use case ends.</t>
  </si>
  <si>
    <t xml:space="preserve">AI-CTRL-015.R4</t>
  </si>
  <si>
    <t xml:space="preserve">Authenticate agents to each other and sign the messages they exchange, so that one agent cannot pass as another.</t>
  </si>
  <si>
    <t xml:space="preserve">AI-CTRL-015.R5</t>
  </si>
  <si>
    <t xml:space="preserve">Give training jobs, pipelines and model-serving processes their own workload identities.</t>
  </si>
  <si>
    <t xml:space="preserve">AI-CTRL-015.R6</t>
  </si>
  <si>
    <t xml:space="preserve">An agent cannot provide a possession or inherence factor, so it cannot perform multi-factor authentication.</t>
  </si>
  <si>
    <t xml:space="preserve">AI-CTRL-015.R7</t>
  </si>
  <si>
    <t xml:space="preserve">Where a person would need MFA for the same access, give the agent a device-bound credential, preferably cryptographic (for example a device-specific certificate over mutual TLS), limited in time and never reusable by another system or person, and never use the agent to get around an MFA requirement.</t>
  </si>
  <si>
    <t xml:space="preserve">AI-CTRL-016.R1</t>
  </si>
  <si>
    <t xml:space="preserve">AI-CTRL-016</t>
  </si>
  <si>
    <t xml:space="preserve">Least Privilege and Scoped Credentials</t>
  </si>
  <si>
    <t xml:space="preserve">Use short-lived credentials scoped per tool and resource.</t>
  </si>
  <si>
    <t xml:space="preserve">Permission maps; token scope configuration; access review records; drift reports.</t>
  </si>
  <si>
    <t xml:space="preserve">Have a test agent attempt a tool or resource outside its scope and confirm it is denied and logged. Confirm credentials expire as configured.</t>
  </si>
  <si>
    <t xml:space="preserve">AI-R06, AI-R07, AI-R08, AI-R22</t>
  </si>
  <si>
    <t xml:space="preserve">None published in ISO/IEC 42001. The wiki's own identifier applies: AI-CTRL-016.</t>
  </si>
  <si>
    <t xml:space="preserve">LLM06:2025 Excessive Agency; ASI03 Identity &amp; Privilege Abuse</t>
  </si>
  <si>
    <t xml:space="preserve">A.5.15 Access control; A.5.18 Access rights; A.8.2 Privileged access rights; A.8.3 Information access restriction</t>
  </si>
  <si>
    <t xml:space="preserve">MAS 5.16; SG5</t>
  </si>
  <si>
    <t xml:space="preserve">AI-CTRL-016.R2</t>
  </si>
  <si>
    <t xml:space="preserve">Act with the end user's rights where a user is present, not with a broad service account.</t>
  </si>
  <si>
    <t xml:space="preserve">AI-CTRL-016.R3</t>
  </si>
  <si>
    <t xml:space="preserve">Detect and correct permission drift.</t>
  </si>
  <si>
    <t xml:space="preserve">AI-CTRL-016.R4</t>
  </si>
  <si>
    <t xml:space="preserve">Keep secrets out of locations an agent can read, such as environment variables, configuration files and shell history; issue short-lived tokens scoped to one task at the moment of the call; and plant canary credentials to detect an agent searching for credentials it was never given.</t>
  </si>
  <si>
    <t xml:space="preserve">AI-CTRL-016.R5</t>
  </si>
  <si>
    <t xml:space="preserve">Apply the same limits to training jobs, pipelines and model-serving identities: scope them to the datasets and models the task names, and revoke them when the job ends.</t>
  </si>
  <si>
    <t xml:space="preserve">AI-CTRL-017.R1</t>
  </si>
  <si>
    <t xml:space="preserve">AI-CTRL-017</t>
  </si>
  <si>
    <t xml:space="preserve">Data Protection in AI Pipelines</t>
  </si>
  <si>
    <t xml:space="preserve">Carry data classification into AI pipelines.</t>
  </si>
  <si>
    <t xml:space="preserve">Data flow diagrams; classification and masking rules; tenant isolation tests; lineage records.</t>
  </si>
  <si>
    <t xml:space="preserve">Send labelled sensitive records through the pipeline and confirm masking at each stage. Attempt to read another tenant's data through the AI interface.</t>
  </si>
  <si>
    <t xml:space="preserve">AI-R01, AI-R03, AI-R06, AI-R17</t>
  </si>
  <si>
    <t xml:space="preserve">MEASURE 2.10; MEASURE 2.7</t>
  </si>
  <si>
    <t xml:space="preserve">A.4.3 Data resources; A.7.6 Data preparation</t>
  </si>
  <si>
    <t xml:space="preserve">A.5.12 Classification of information; A.5.13 Labelling of information; A.8.10 Information deletion; A.8.11 Data masking; A.8.12 Data leakage prevention; A.8.24 Use of cryptography; A.8.33 Test information</t>
  </si>
  <si>
    <t xml:space="preserve">Q1; S1; U1</t>
  </si>
  <si>
    <t xml:space="preserve">E2</t>
  </si>
  <si>
    <t xml:space="preserve">US17</t>
  </si>
  <si>
    <t xml:space="preserve">IN1</t>
  </si>
  <si>
    <t xml:space="preserve">HK7; Risk management frameworks: data within appro</t>
  </si>
  <si>
    <t xml:space="preserve">AI-CTRL-017.R2</t>
  </si>
  <si>
    <t xml:space="preserve">Minimize or mask sensitive fields before they reach a model.</t>
  </si>
  <si>
    <t xml:space="preserve">AI-CTRL-017.R3</t>
  </si>
  <si>
    <t xml:space="preserve">Keep tenants separate in indexes, caches, memory and logs, and record data lineage.</t>
  </si>
  <si>
    <t xml:space="preserve">AI-CTRL-017.R4</t>
  </si>
  <si>
    <t xml:space="preserve">Never give a model or agent cleartext high-impact secrets (cryptographic keys, key components, passwords) or ask it to generate them or the random values behind them; route cryptography through a key service or HSM interface that exposes only the keys and functions the task needs.</t>
  </si>
  <si>
    <t xml:space="preserve">AI-CTRL-017.R5</t>
  </si>
  <si>
    <t xml:space="preserve">Judge the data an AI system can reach by what it could obtain, not what it is meant to use: tokens or encrypted data plus a reachable detokenisation, decryption or access-management path count as cleartext.</t>
  </si>
  <si>
    <t xml:space="preserve">AI-CTRL-017.R6</t>
  </si>
  <si>
    <t xml:space="preserve">Show in the data flow diagrams the data stores AI operation creates (prompt and response logs, transcripts, caches, retrieved context, tool results, agent scratchpads, orchestration state) and mask sensitive values before they are written.</t>
  </si>
  <si>
    <t xml:space="preserve">AI-CTRL-018.R1</t>
  </si>
  <si>
    <t xml:space="preserve">AI-CTRL-018</t>
  </si>
  <si>
    <t xml:space="preserve">Retrieval Access Control</t>
  </si>
  <si>
    <t xml:space="preserve">Enforce document-level permissions at query time using the end user's identity.</t>
  </si>
  <si>
    <t xml:space="preserve">Permission test results; retrieval logs with source documents; propagation timing.</t>
  </si>
  <si>
    <t xml:space="preserve">Query as users with different entitlements and confirm restricted documents are never retrieved. Revoke access to a document and measure how long it remains retrievable.</t>
  </si>
  <si>
    <t xml:space="preserve">AI-R06</t>
  </si>
  <si>
    <t xml:space="preserve">None published in ISO/IEC 42001. The wiki's own identifier applies: AI-CTRL-018.</t>
  </si>
  <si>
    <t xml:space="preserve">LLM08:2025 Vector and Embedding Weaknesses; LLM02:2025 Sensitive Information Disclosure</t>
  </si>
  <si>
    <t xml:space="preserve">A.5.15 Access control; A.8.3 Information access restriction</t>
  </si>
  <si>
    <t xml:space="preserve">AI-CTRL-018.R2</t>
  </si>
  <si>
    <t xml:space="preserve">Propagate permission changes to the index promptly.</t>
  </si>
  <si>
    <t xml:space="preserve">AI-CTRL-018.R3</t>
  </si>
  <si>
    <t xml:space="preserve">Do not rely on the model to withhold content.</t>
  </si>
  <si>
    <t xml:space="preserve">AI-CTRL-018.R4</t>
  </si>
  <si>
    <t xml:space="preserve">Return citations that users can check.</t>
  </si>
  <si>
    <t xml:space="preserve">AI-CTRL-019.R1</t>
  </si>
  <si>
    <t xml:space="preserve">AI-CTRL-019</t>
  </si>
  <si>
    <t xml:space="preserve">Knowledge Base Integrity</t>
  </si>
  <si>
    <t xml:space="preserve">Control who and what can write to the corpus.</t>
  </si>
  <si>
    <t xml:space="preserve">Ingestion access list; provenance records; ingestion scan results; removal test.</t>
  </si>
  <si>
    <t xml:space="preserve">Add a document with a planted instruction and a false fact through each ingestion path. Confirm it is detected or neutralized, and that it can be traced and removed.</t>
  </si>
  <si>
    <t xml:space="preserve">AI-R05, AI-R08, AI-R17</t>
  </si>
  <si>
    <t xml:space="preserve">MEASURE 2.7; MAP 2.3</t>
  </si>
  <si>
    <t xml:space="preserve">A.7.3 Acquisition of data; A.7.4 Quality of data for AI systems; A.7.5 Data provenance</t>
  </si>
  <si>
    <t xml:space="preserve">LLM04:2025 Data and Model Poisoning; LLM08:2025 Vector and Embedding Weaknesses</t>
  </si>
  <si>
    <t xml:space="preserve">A.8.32 Change management</t>
  </si>
  <si>
    <t xml:space="preserve">AI-CTRL-019.R2</t>
  </si>
  <si>
    <t xml:space="preserve">Record the source of every indexed item.</t>
  </si>
  <si>
    <t xml:space="preserve">AI-CTRL-019.R3</t>
  </si>
  <si>
    <t xml:space="preserve">Scan ingested content for embedded instructions, and keep the ability to find and remove items by source.</t>
  </si>
  <si>
    <t xml:space="preserve">AI-CTRL-019.R4</t>
  </si>
  <si>
    <t xml:space="preserve">Record an owner and a freshness limit for each source, and monitor retrieval quality for drift so that superseded or degraded content is found and removed.</t>
  </si>
  <si>
    <t xml:space="preserve">AI-CTRL-019.R5</t>
  </si>
  <si>
    <t xml:space="preserve">Measure the corpus against data quality thresholds for currentness, credibility of source and duplication, so that stale or low-quality content is treated as a defect and not only tampering.</t>
  </si>
  <si>
    <t xml:space="preserve">AI-CTRL-020.R1</t>
  </si>
  <si>
    <t xml:space="preserve">AI-CTRL-020</t>
  </si>
  <si>
    <t xml:space="preserve">Output Handling</t>
  </si>
  <si>
    <t xml:space="preserve">Validate and encode output before it is rendered, executed or passed to another system.</t>
  </si>
  <si>
    <t xml:space="preserve">Output validation rules; response inspection logs; injection test results.</t>
  </si>
  <si>
    <t xml:space="preserve">Induce the model to emit script, markup and command payloads and confirm none executes downstream. Confirm sensitive data in a response is detected.</t>
  </si>
  <si>
    <t xml:space="preserve">AI-R05, AI-R06, AI-R24, AI-R26</t>
  </si>
  <si>
    <t xml:space="preserve">MEASURE 2.7; MEASURE 2.10</t>
  </si>
  <si>
    <t xml:space="preserve">LLM05:2025 Improper Output Handling; LLM02:2025 Sensitive Information Disclosure</t>
  </si>
  <si>
    <t xml:space="preserve">A.8.26 Application security requirements; A.8.28 Secure coding</t>
  </si>
  <si>
    <t xml:space="preserve">Accountability for outputs: controls against </t>
  </si>
  <si>
    <t xml:space="preserve">AI-CTRL-020.R2</t>
  </si>
  <si>
    <t xml:space="preserve">Restrict what output can trigger, such as links, images and calls.</t>
  </si>
  <si>
    <t xml:space="preserve">AI-CTRL-020.R3</t>
  </si>
  <si>
    <t xml:space="preserve">Inspect responses for sensitive data.</t>
  </si>
  <si>
    <t xml:space="preserve">AI-CTRL-020.R4</t>
  </si>
  <si>
    <t xml:space="preserve">Treat reasoning traces, intermediate tool output and system instructions as sensitive content.</t>
  </si>
  <si>
    <t xml:space="preserve">AI-CTRL-020.R5</t>
  </si>
  <si>
    <t xml:space="preserve">Decide whether each is shown to users or written to logs, apply the same classification as the final output, and test for leakage.</t>
  </si>
  <si>
    <t xml:space="preserve">AI-CTRL-021.R1</t>
  </si>
  <si>
    <t xml:space="preserve">AI-CTRL-021</t>
  </si>
  <si>
    <t xml:space="preserve">Multimodal and Voice Input Security</t>
  </si>
  <si>
    <t xml:space="preserve">Inspect non-text inputs for sensitive content and hidden instructions.</t>
  </si>
  <si>
    <t xml:space="preserve">Modality coverage matrix; detection results by modality; recording retention configuration.</t>
  </si>
  <si>
    <t xml:space="preserve">Submit images, documents and audio carrying sensitive data and hidden instructions. Compare detection with the text-channel result for the same content.</t>
  </si>
  <si>
    <t xml:space="preserve">AI-R03, AI-R05</t>
  </si>
  <si>
    <t xml:space="preserve">A.6.2.4 AI system verification and validation</t>
  </si>
  <si>
    <t xml:space="preserve">LLM01:2025 Prompt Injection; LLM02:2025 Sensitive Information Disclosure</t>
  </si>
  <si>
    <t xml:space="preserve">A.8.7 Protection against malware; A.8.12 Data leakage prevention; A.8.26 Application security requirements</t>
  </si>
  <si>
    <t xml:space="preserve">AI-CTRL-021.R2</t>
  </si>
  <si>
    <t xml:space="preserve">Do not treat voice as proof of identity for sensitive actions.</t>
  </si>
  <si>
    <t xml:space="preserve">AI-CTRL-021.R3</t>
  </si>
  <si>
    <t xml:space="preserve">Govern recordings and transcripts under the retention policy.</t>
  </si>
  <si>
    <t xml:space="preserve">AI-CTRL-022.R1</t>
  </si>
  <si>
    <t xml:space="preserve">AI-CTRL-022</t>
  </si>
  <si>
    <t xml:space="preserve">Deterministic Action Authorization</t>
  </si>
  <si>
    <t xml:space="preserve">Place a policy enforcement point between the model and every tool.</t>
  </si>
  <si>
    <t xml:space="preserve">Policy rules; allow and deny logs; architecture review record.</t>
  </si>
  <si>
    <t xml:space="preserve">Instruct a test agent, through injected content, to make a call the policy forbids. Confirm the enforcement point denies it regardless of what the model outputs.</t>
  </si>
  <si>
    <t xml:space="preserve">AI-R07, AI-R24</t>
  </si>
  <si>
    <t xml:space="preserve">A.6.2.2 AI system requirements and specification</t>
  </si>
  <si>
    <t xml:space="preserve">LLM06:2025 Excessive Agency; ASI02 Tool Misuse &amp; Exploitation</t>
  </si>
  <si>
    <t xml:space="preserve">A.5.3 Segregation of duties; A.5.15 Access control; A.8.3 Information access restriction</t>
  </si>
  <si>
    <t xml:space="preserve">AI-CTRL-022.R2</t>
  </si>
  <si>
    <t xml:space="preserve">It authorizes each call with deterministic rules using the real parameters, the acting identity and the end user's rights.</t>
  </si>
  <si>
    <t xml:space="preserve">AI-CTRL-022.R3</t>
  </si>
  <si>
    <t xml:space="preserve">Model output is advice, never authority.</t>
  </si>
  <si>
    <t xml:space="preserve">AI-CTRL-023.R1</t>
  </si>
  <si>
    <t xml:space="preserve">AI-CTRL-023</t>
  </si>
  <si>
    <t xml:space="preserve">Human Approval for Sensitive Actions</t>
  </si>
  <si>
    <t xml:space="preserve">Define which actions need approval.</t>
  </si>
  <si>
    <t xml:space="preserve">List of gated actions; approval logs with parameters shown; rejection samples.</t>
  </si>
  <si>
    <t xml:space="preserve">Trigger a gated action and confirm it does not run without approval. Confirm the approver sees the real parameters and that the decision is logged.</t>
  </si>
  <si>
    <t xml:space="preserve">AI-R07, AI-R19</t>
  </si>
  <si>
    <t xml:space="preserve">MAP 3.5; GOVERN 3.2</t>
  </si>
  <si>
    <t xml:space="preserve">A.9.2 Processes for responsible use of AI systems; A.9.3 Objectives for responsible use of AI system</t>
  </si>
  <si>
    <t xml:space="preserve">LLM06:2025 Excessive Agency; ASI09 Human-Agent Trust Exploitation</t>
  </si>
  <si>
    <t xml:space="preserve">A.5.3 Segregation of duties</t>
  </si>
  <si>
    <t xml:space="preserve">B4; Q4; U3; U6; U9</t>
  </si>
  <si>
    <t xml:space="preserve">E1c</t>
  </si>
  <si>
    <t xml:space="preserve">UK3; UK5</t>
  </si>
  <si>
    <t xml:space="preserve">US8; US10</t>
  </si>
  <si>
    <t xml:space="preserve">IN5</t>
  </si>
  <si>
    <t xml:space="preserve">MAS 5.9; SG2; SG5</t>
  </si>
  <si>
    <t xml:space="preserve">AU4</t>
  </si>
  <si>
    <t xml:space="preserve">CA3</t>
  </si>
  <si>
    <t xml:space="preserve">CN6</t>
  </si>
  <si>
    <t xml:space="preserve">KR3</t>
  </si>
  <si>
    <t xml:space="preserve">Accountability for outputs: controls against ; Use-case owners and human oversight: a named </t>
  </si>
  <si>
    <t xml:space="preserve">AI-CTRL-023.R2</t>
  </si>
  <si>
    <t xml:space="preserve">Show the approver the real parameters and the consequence, not a model-written summary.</t>
  </si>
  <si>
    <t xml:space="preserve">AI-CTRL-023.R3</t>
  </si>
  <si>
    <t xml:space="preserve">Record the decision, and guard against approval fatigue by keeping the set of gated actions small.</t>
  </si>
  <si>
    <t xml:space="preserve">AI-CTRL-024.R1</t>
  </si>
  <si>
    <t xml:space="preserve">AI-CTRL-024</t>
  </si>
  <si>
    <t xml:space="preserve">Tool and MCP Server Governance</t>
  </si>
  <si>
    <t xml:space="preserve">Keep an allow-list of tools, plugins and MCP servers with an owner for each.</t>
  </si>
  <si>
    <t xml:space="preserve">Tool and MCP server registry; allow-list configuration; change detection alerts.</t>
  </si>
  <si>
    <t xml:space="preserve">Connect an unlisted tool server and confirm it is blocked. Change the description of an approved tool and confirm the change is detected before use.</t>
  </si>
  <si>
    <t xml:space="preserve">AI-R07, AI-R08, AI-R23, AI-R24</t>
  </si>
  <si>
    <t xml:space="preserve">GOVERN 6.1; MAP 4.1; MAP 4.2; MANAGE 3.1</t>
  </si>
  <si>
    <t xml:space="preserve">A.10.3 Suppliers; A.4.4 Tooling resources</t>
  </si>
  <si>
    <t xml:space="preserve">LLM03:2025 Supply Chain; ASI04 Agentic Supply Chain Vulnerabilities; ASI02 Tool Misuse &amp; Exploitation</t>
  </si>
  <si>
    <t xml:space="preserve">A.5.19 Information security in supplier relationships; A.5.21 Managing information security in the ICT supply chain; A.8.9 Configuration management; A.8.19 Installation of software on operational systems; A.8.32 Change management; A.8.18 Use of privileged utility programs</t>
  </si>
  <si>
    <t xml:space="preserve">AI-CTRL-024.R2</t>
  </si>
  <si>
    <t xml:space="preserve">Validate tool schemas, pin versions, and re-approve when a tool definition changes after approval.</t>
  </si>
  <si>
    <t xml:space="preserve">AI-CTRL-024.R3</t>
  </si>
  <si>
    <t xml:space="preserve">The same governance applies to agent skills and plugins: approve them from an allowlist after review, pin the version, check integrity on load and keep a procedure to remove one quickly.</t>
  </si>
  <si>
    <t xml:space="preserve">AI-CTRL-024.R4</t>
  </si>
  <si>
    <t xml:space="preserve">Treat tools that can override system or application controls, such as shells, database consoles and administration APIs, as privileged utilities: give them only to named agents that need them, and log every use.</t>
  </si>
  <si>
    <t xml:space="preserve">AI-CTRL-025.R1</t>
  </si>
  <si>
    <t xml:space="preserve">AI-CTRL-025</t>
  </si>
  <si>
    <t xml:space="preserve">AI Containment and Kill Switch</t>
  </si>
  <si>
    <t xml:space="preserve">Provide a tested way to stop a single agent and to revoke credentials for all agents.</t>
  </si>
  <si>
    <t xml:space="preserve">Kill switch procedure; register of kill switches for high-risk use cases with owners, triggers and fallbacks; test records with timings; task limits configuration.</t>
  </si>
  <si>
    <t xml:space="preserve">Start a long-running test agent and stop it. Measure the time until no further actions occur and credentials are invalid. Sample high-risk use cases and confirm each has a kill switch, a fallback and a test within the last year; suspend one model in the lab and confirm decisions route to the fallback.</t>
  </si>
  <si>
    <t xml:space="preserve">AI-R07, AI-R11, AI-R21, AI-R25, AI-R55</t>
  </si>
  <si>
    <t xml:space="preserve">MANAGE 2.4; MANAGE 2.3</t>
  </si>
  <si>
    <t xml:space="preserve">A.6.2.6 AI system operation and monitoring</t>
  </si>
  <si>
    <t xml:space="preserve">LLM06:2025 Excessive Agency; ASI08 Cascading Failures; ASI10 Rogue Agents</t>
  </si>
  <si>
    <t xml:space="preserve">A.5.18 Access rights; A.5.26 Response to information security incidents</t>
  </si>
  <si>
    <t xml:space="preserve">IN6; IN13</t>
  </si>
  <si>
    <t xml:space="preserve">MAS 5.3; SG2; SG5; SG7</t>
  </si>
  <si>
    <t xml:space="preserve">HK1; HK9; Risk-commensurate management: materiality and</t>
  </si>
  <si>
    <t xml:space="preserve">AI-CTRL-025.R2</t>
  </si>
  <si>
    <t xml:space="preserve">Set limits on steps, time and spend per task.</t>
  </si>
  <si>
    <t xml:space="preserve">AI-CTRL-025.R3</t>
  </si>
  <si>
    <t xml:space="preserve">Know which actions can be rolled back and how.</t>
  </si>
  <si>
    <t xml:space="preserve">AI-CTRL-025.R4</t>
  </si>
  <si>
    <t xml:space="preserve">For every AI use case rated high risk or material, including models that are not agents (for example credit, fraud or pricing models) and third-party AI, name who may suspend it, set the triggers (risk tolerance breached, incident, regulator request), route decisions to a fallback or manual process while it is off, require re-approval before restart, and test activation at least once a year.</t>
  </si>
  <si>
    <t xml:space="preserve">AI-CTRL-025.R5</t>
  </si>
  <si>
    <t xml:space="preserve">Where a vendor runs the model, secure the right to have it suspended in the contract.</t>
  </si>
  <si>
    <t xml:space="preserve">AI-CTRL-025.R6</t>
  </si>
  <si>
    <t xml:space="preserve">Keep the log of every action the AI system took through containment and rollback; nothing the stop or the reversal does may remove it.</t>
  </si>
  <si>
    <t xml:space="preserve">AI-CTRL-025.R7</t>
  </si>
  <si>
    <t xml:space="preserve">Where an agent can reach cleartext payment card data, shut it down automatically (fail secure) on unusual activity such as an attempt to reach a system outside its scope.</t>
  </si>
  <si>
    <t xml:space="preserve">AI-CTRL-026.R1</t>
  </si>
  <si>
    <t xml:space="preserve">AI-CTRL-026</t>
  </si>
  <si>
    <t xml:space="preserve">Agent Memory and Context Integrity</t>
  </si>
  <si>
    <t xml:space="preserve">Separate memory by user and tenant.</t>
  </si>
  <si>
    <t xml:space="preserve">Memory isolation tests; memory provenance records; purge procedure and test; memory store inventory with owners; memory write policy and enforcement results; access and erasure request records that cover memory.</t>
  </si>
  <si>
    <t xml:space="preserve">Plant an instruction in memory through untrusted content and confirm it does not affect a later session. Confirm one user cannot read another's memory.</t>
  </si>
  <si>
    <t xml:space="preserve">AI-R05, AI-R07, AI-R21</t>
  </si>
  <si>
    <t xml:space="preserve">LLM04:2025 Data and Model Poisoning; LLM01:2025 Prompt Injection; ASI06 Memory &amp; Context Poisoning</t>
  </si>
  <si>
    <t xml:space="preserve">A.8.3 Information access restriction</t>
  </si>
  <si>
    <t xml:space="preserve">AI-CTRL-026.R2</t>
  </si>
  <si>
    <t xml:space="preserve">Record the source of each memory item, apply expiry, and provide a way to inspect and purge memory.</t>
  </si>
  <si>
    <t xml:space="preserve">AI-CTRL-026.R3</t>
  </si>
  <si>
    <t xml:space="preserve">Do not let untrusted content write to long-term memory unchecked.</t>
  </si>
  <si>
    <t xml:space="preserve">AI-CTRL-026.R4</t>
  </si>
  <si>
    <t xml:space="preserve">Keep an inventory of memory stores with a named owner for each.</t>
  </si>
  <si>
    <t xml:space="preserve">AI-CTRL-026.R5</t>
  </si>
  <si>
    <t xml:space="preserve">Write down what each assistant may and may not remember, and enforce it when memory is written.</t>
  </si>
  <si>
    <t xml:space="preserve">AI-CTRL-026.R6</t>
  </si>
  <si>
    <t xml:space="preserve">Let users see, correct and delete what is remembered about them, and include memory in data subject access and erasure requests.</t>
  </si>
  <si>
    <t xml:space="preserve">AI-CTRL-027.R1</t>
  </si>
  <si>
    <t xml:space="preserve">AI-CTRL-027</t>
  </si>
  <si>
    <t xml:space="preserve">Agent Execution Isolation</t>
  </si>
  <si>
    <t xml:space="preserve">Execute generated code in a sandbox with no network, filesystem or secrets access by default.</t>
  </si>
  <si>
    <t xml:space="preserve">Sandbox configuration; egress rules; isolation test results.</t>
  </si>
  <si>
    <t xml:space="preserve">Have a test agent run code that tries to reach the network, read secrets and write outside its workspace. Confirm each attempt fails and is logged.</t>
  </si>
  <si>
    <t xml:space="preserve">AI-R07, AI-R21, AI-R22, AI-R25, AI-R55</t>
  </si>
  <si>
    <t xml:space="preserve">A.4.5 System and computing resources; A.6.2.5 AI system deployment</t>
  </si>
  <si>
    <t xml:space="preserve">LLM06:2025 Excessive Agency; ASI05 Unexpected Code Execution (RCE)</t>
  </si>
  <si>
    <t xml:space="preserve">A.8.22 Segregation of networks; A.8.27 Secure system architecture and engineering principles; A.8.31 Separation of development, test and production environments</t>
  </si>
  <si>
    <t xml:space="preserve">AI-CTRL-027.R2</t>
  </si>
  <si>
    <t xml:space="preserve">Run browser and computer-use agents in a separate profile or container with their own credentials and sessions.</t>
  </si>
  <si>
    <t xml:space="preserve">AI-CTRL-028.R1</t>
  </si>
  <si>
    <t xml:space="preserve">AI-CTRL-028</t>
  </si>
  <si>
    <t xml:space="preserve">Model Protection</t>
  </si>
  <si>
    <t xml:space="preserve">Restrict access to model weights and encrypt them at rest.</t>
  </si>
  <si>
    <t xml:space="preserve">Model access list; query monitoring rules; model scan reports; robustness test results.</t>
  </si>
  <si>
    <t xml:space="preserve">Run a scripted extraction pattern against a test endpoint and confirm it is detected and throttled. Attempt to read model weights with a non-privileged identity.</t>
  </si>
  <si>
    <t xml:space="preserve">AI-R08</t>
  </si>
  <si>
    <t xml:space="preserve">MEASURE 2.7; MEASURE 2.5</t>
  </si>
  <si>
    <t xml:space="preserve">LLM10:2025 Unbounded Consumption; LLM02:2025 Sensitive Information Disclosure</t>
  </si>
  <si>
    <t xml:space="preserve">A.5.15 Access control; A.8.3 Information access restriction; A.8.12 Data leakage prevention; A.8.24 Use of cryptography</t>
  </si>
  <si>
    <t xml:space="preserve">U2</t>
  </si>
  <si>
    <t xml:space="preserve">E1e</t>
  </si>
  <si>
    <t xml:space="preserve">MAS 5.26; SG5</t>
  </si>
  <si>
    <t xml:space="preserve">AI-CTRL-028.R2</t>
  </si>
  <si>
    <t xml:space="preserve">Limit and monitor inference queries for extraction patterns.</t>
  </si>
  <si>
    <t xml:space="preserve">AI-CTRL-028.R3</t>
  </si>
  <si>
    <t xml:space="preserve">Scan models before use, and test robustness for models that make security or safety decisions.</t>
  </si>
  <si>
    <t xml:space="preserve">AI-CTRL-029.R1</t>
  </si>
  <si>
    <t xml:space="preserve">AI-CTRL-029</t>
  </si>
  <si>
    <t xml:space="preserve">Training and Fine-Tuning Data Integrity</t>
  </si>
  <si>
    <t xml:space="preserve">Record provenance for every dataset.</t>
  </si>
  <si>
    <t xml:space="preserve">Dataset provenance records; integrity checks; screening results; model-to-data lineage; approved data quality profile and the measured results for each run.</t>
  </si>
  <si>
    <t xml:space="preserve">Alter a sample of a test dataset and confirm the integrity check fails the run. Trace a deployed model back to the exact dataset versions used.</t>
  </si>
  <si>
    <t xml:space="preserve">MAP 2.3; MAP 4.1; MEASURE 2.7; MEASURE 2.10</t>
  </si>
  <si>
    <t xml:space="preserve">A.7.2 Data for development and enhancement of AI system; A.7.3 Acquisition of data; A.7.4 Quality of data for AI systems; A.7.5 Data provenance</t>
  </si>
  <si>
    <t xml:space="preserve">LLM04:2025 Data and Model Poisoning</t>
  </si>
  <si>
    <t xml:space="preserve">A.5.9 Inventory of information and other associated assets; A.5.21 Managing information security in the ICT supply chain; A.8.33 Test information</t>
  </si>
  <si>
    <t xml:space="preserve">S9</t>
  </si>
  <si>
    <t xml:space="preserve">E1e; E11</t>
  </si>
  <si>
    <t xml:space="preserve">UK8</t>
  </si>
  <si>
    <t xml:space="preserve">US6; US14; US16</t>
  </si>
  <si>
    <t xml:space="preserve">MAS 5.4; SG5</t>
  </si>
  <si>
    <t xml:space="preserve">JP5</t>
  </si>
  <si>
    <t xml:space="preserve">Risk management frameworks: data within appro</t>
  </si>
  <si>
    <t xml:space="preserve">AI-CTRL-029.R2</t>
  </si>
  <si>
    <t xml:space="preserve">Verify integrity before each training or fine-tuning run.</t>
  </si>
  <si>
    <t xml:space="preserve">AI-CTRL-029.R3</t>
  </si>
  <si>
    <t xml:space="preserve">Screen data for sensitive content and poisoning, and keep the ability to trace a model back to its data.</t>
  </si>
  <si>
    <t xml:space="preserve">AI-CTRL-029.R4</t>
  </si>
  <si>
    <t xml:space="preserve">Define a data quality profile for each dataset: choose the quality characteristics that matter for the task (for example completeness, accuracy, balance and representativeness, as named in ISO/IEC 5259-2), set a measured threshold for each, and have the data owner approve them.</t>
  </si>
  <si>
    <t xml:space="preserve">AI-CTRL-029.R5</t>
  </si>
  <si>
    <t xml:space="preserve">Check the thresholds before each run, and treat labelling quality as part of the profile when data is labelled.</t>
  </si>
  <si>
    <t xml:space="preserve">AI-CTRL-030.R1</t>
  </si>
  <si>
    <t xml:space="preserve">AI-CTRL-030</t>
  </si>
  <si>
    <t xml:space="preserve">ML Pipeline and Model Registry Security</t>
  </si>
  <si>
    <t xml:space="preserve">Sign model artifacts and verify signatures at deployment.</t>
  </si>
  <si>
    <t xml:space="preserve">Signing configuration; registry access list; release gate results; version history.</t>
  </si>
  <si>
    <t xml:space="preserve">Attempt to deploy an unsigned or altered artifact and confirm it is rejected. Confirm a failed security test blocks a release.</t>
  </si>
  <si>
    <t xml:space="preserve">MEASURE 2.7; MAP 4.2</t>
  </si>
  <si>
    <t xml:space="preserve">A.6.2.5 AI system deployment; A.6.2.3 Documentation of AI system design and development; A.6.1.3 Processes for responsible design and development; A.6.2.7 AI system technical documentation</t>
  </si>
  <si>
    <t xml:space="preserve">LLM03:2025 Supply Chain; LLM04:2025 Data and Model Poisoning</t>
  </si>
  <si>
    <t xml:space="preserve">A.8.4 Access to source code; A.8.9 Configuration management; A.8.25 Secure development life cycle; A.8.29 Security testing in development and acceptance; A.8.31 Separation of development, test and production environments; A.8.32 Change management</t>
  </si>
  <si>
    <t xml:space="preserve">MAS 5.17; MAS 5.25; SG5</t>
  </si>
  <si>
    <t xml:space="preserve">AI-CTRL-030.R2</t>
  </si>
  <si>
    <t xml:space="preserve">Restrict who can write to the registry.</t>
  </si>
  <si>
    <t xml:space="preserve">AI-CTRL-030.R3</t>
  </si>
  <si>
    <t xml:space="preserve">Gate releases on security tests, and version models, prompts and configuration together.</t>
  </si>
  <si>
    <t xml:space="preserve">AI-CTRL-031.R1</t>
  </si>
  <si>
    <t xml:space="preserve">AI-CTRL-031</t>
  </si>
  <si>
    <t xml:space="preserve">AI Supply Chain and AI-BOM</t>
  </si>
  <si>
    <t xml:space="preserve">Maintain an AI bill of materials per system.</t>
  </si>
  <si>
    <t xml:space="preserve">AI-BOM; approved source list; scan reports; change-triggered test records.</t>
  </si>
  <si>
    <t xml:space="preserve">Compare the AI-BOM of a sampled system with what is deployed. Introduce a component from an unapproved source and confirm it is blocked or flagged.</t>
  </si>
  <si>
    <t xml:space="preserve">AI-R08, AI-R16, AI-R23</t>
  </si>
  <si>
    <t xml:space="preserve">GOVERN 6.1; MAP 4.1; MANAGE 3.1; MANAGE 3.2</t>
  </si>
  <si>
    <t xml:space="preserve">A.10.3 Suppliers; A.4.2 Resource documentation; A.7.5 Data provenance; A.6.2.7 AI system technical documentation</t>
  </si>
  <si>
    <t xml:space="preserve">A.5.9 Inventory of information and other associated assets; A.5.21 Managing information security in the ICT supply chain; A.8.8 Management of technical vulnerabilities; A.8.19 Installation of software on operational systems; A.8.30 Outsourced development</t>
  </si>
  <si>
    <t xml:space="preserve">AI-CTRL-031.R2</t>
  </si>
  <si>
    <t xml:space="preserve">Take models and packages only from approved sources, verify provenance, and scan them.</t>
  </si>
  <si>
    <t xml:space="preserve">AI-CTRL-031.R3</t>
  </si>
  <si>
    <t xml:space="preserve">Re-run security tests when any component changes, including a provider-side model update.</t>
  </si>
  <si>
    <t xml:space="preserve">AI-CTRL-031.R4</t>
  </si>
  <si>
    <t xml:space="preserve">Pin model versions rather than using floating aliases such as "latest", and track provider deprecation and change notices so that a model change is a reviewed change.</t>
  </si>
  <si>
    <t xml:space="preserve">AI-CTRL-031.R5</t>
  </si>
  <si>
    <t xml:space="preserve">Record in the AI-BOM the model and version, harness and orchestration components, where it is hosted and who runs it, the data and systems it can reach with the restrictions on them, the provider's data use and retention terms, and the intended users and use cases.</t>
  </si>
  <si>
    <t xml:space="preserve">AI-CTRL-031.R6</t>
  </si>
  <si>
    <t xml:space="preserve">Authorise, list and monitor for tampering any AI script or widget loaded on a payment page, as for any other page script.</t>
  </si>
  <si>
    <t xml:space="preserve">AI-CTRL-032.R1</t>
  </si>
  <si>
    <t xml:space="preserve">AI-CTRL-032</t>
  </si>
  <si>
    <t xml:space="preserve">AI Infrastructure Hardening</t>
  </si>
  <si>
    <t xml:space="preserve">Separate experimentation, training, evaluation and production.</t>
  </si>
  <si>
    <t xml:space="preserve">Network segmentation rules; secrets management configuration; hardening baseline; isolation tests.</t>
  </si>
  <si>
    <t xml:space="preserve">Attempt to reach production data from the experimentation environment and to open unapproved egress from a model runtime. Confirm both fail.</t>
  </si>
  <si>
    <t xml:space="preserve">AI-R08, AI-R10</t>
  </si>
  <si>
    <t xml:space="preserve">A.4.5 System and computing resources</t>
  </si>
  <si>
    <t xml:space="preserve">A.5.23 Information security for use of cloud services; A.8.8 Management of technical vulnerabilities; A.8.9 Configuration management; A.8.20 Networks security; A.8.22 Segregation of networks; A.8.24 Use of cryptography; A.8.21 Security of network services</t>
  </si>
  <si>
    <t xml:space="preserve">MAS 5.16; MAS 5.22; MAS 6.3; SG5</t>
  </si>
  <si>
    <t xml:space="preserve">AI-CTRL-032.R2</t>
  </si>
  <si>
    <t xml:space="preserve">Isolate model runtimes at the network level and allow only required egress.</t>
  </si>
  <si>
    <t xml:space="preserve">AI-CTRL-032.R3</t>
  </si>
  <si>
    <t xml:space="preserve">Manage secrets centrally, and isolate tenants on shared GPUs.</t>
  </si>
  <si>
    <t xml:space="preserve">AI-CTRL-032.R4</t>
  </si>
  <si>
    <t xml:space="preserve">Set security requirements for the model APIs and other network services that AI systems call, including authentication, encryption in transit and the endpoints allowed, and monitor them.</t>
  </si>
  <si>
    <t xml:space="preserve">AI-CTRL-033.R1</t>
  </si>
  <si>
    <t xml:space="preserve">AI-CTRL-033</t>
  </si>
  <si>
    <t xml:space="preserve">AI Security Review and Release Gate</t>
  </si>
  <si>
    <t xml:space="preserve">Threat model each system: assets, trust boundaries, worst-case output and maximum damage.</t>
  </si>
  <si>
    <t xml:space="preserve">Threat models; architecture review records; control selection; approvals and exceptions; responsible development objectives.</t>
  </si>
  <si>
    <t xml:space="preserve">Sample production systems and confirm each has a current threat model, a control selection that matches its tier and a signed approval.</t>
  </si>
  <si>
    <t xml:space="preserve">AI-R05, AI-R07, AI-R08, AI-R14, AI-R16, AI-R55</t>
  </si>
  <si>
    <t xml:space="preserve">MANAGE 1.1; GOVERN 4.2; MEASURE 2.7</t>
  </si>
  <si>
    <t xml:space="preserve">A.5.2 AI system impact assessment process; A.6.2.2 AI system requirements and specification; A.6.2.4 AI system verification and validation; A.6.2.5 AI system deployment; A.6.1.2 Objectives for responsible development of AI systems; A.6.1.3 Processes for responsible design and development</t>
  </si>
  <si>
    <t xml:space="preserve">None published in the OWASP Top 10 lists. The wiki's own identifier applies: AI-CTRL-033.</t>
  </si>
  <si>
    <t xml:space="preserve">A.5.8 Information security in project management; A.8.25 Secure development life cycle; A.8.27 Secure system architecture and engineering principles; A.8.29 Security testing in development and acceptance; A.8.32 Change management</t>
  </si>
  <si>
    <t xml:space="preserve">Q4</t>
  </si>
  <si>
    <t xml:space="preserve">MAS 5.12 to 5.13; MAS 5.18 to 5.21; MAS 5.22; MAS 5.25; SG5</t>
  </si>
  <si>
    <t xml:space="preserve">AI-CTRL-033.R2</t>
  </si>
  <si>
    <t xml:space="preserve">Select controls from this library by risk tier.</t>
  </si>
  <si>
    <t xml:space="preserve">AI-CTRL-033.R3</t>
  </si>
  <si>
    <t xml:space="preserve">Record open risks and exceptions, and require sign-off before release.</t>
  </si>
  <si>
    <t xml:space="preserve">AI-CTRL-033.R4</t>
  </si>
  <si>
    <t xml:space="preserve">When an agent changes production systems, each change carries the same record as a person's change: reason, security impact, approval by an authorised person, test results and a rollback that was tested before approval.</t>
  </si>
  <si>
    <t xml:space="preserve">AI-CTRL-033.R5</t>
  </si>
  <si>
    <t xml:space="preserve">Set documented objectives for responsible development, such as security, privacy, reliability and fairness targets, and use them as release criteria.</t>
  </si>
  <si>
    <t xml:space="preserve">AI-CTRL-034.R1</t>
  </si>
  <si>
    <t xml:space="preserve">AI-CTRL-034</t>
  </si>
  <si>
    <t xml:space="preserve">Adversarial Testing and Continuous Evaluation</t>
  </si>
  <si>
    <t xml:space="preserve">Red team each system against defined threat cases before release.</t>
  </si>
  <si>
    <t xml:space="preserve">Red team reports; regression suite results; agreed thresholds; retest records; threat intelligence review log; production test authorisations.</t>
  </si>
  <si>
    <t xml:space="preserve">Confirm the last model or prompt change triggered the regression suite. Reproduce a sample of reported findings and confirm fixes hold.</t>
  </si>
  <si>
    <t xml:space="preserve">AI-R05, AI-R07, AI-R16, AI-R17, AI-R20</t>
  </si>
  <si>
    <t xml:space="preserve">MEASURE 2.7; MEASURE 2.6; MEASURE 2.1; GOVERN 4.3</t>
  </si>
  <si>
    <t xml:space="preserve">LLM01:2025 Prompt Injection; LLM02:2025 Sensitive Information Disclosure; LLM03:2025 Supply Chain; LLM04:2025 Data and Model Poisoning; LLM05:2025 Improper Output Handling; LLM06:2025 Excessive Agency; LLM07:2025 System Prompt Leakage; LLM08:2025 Vector and Embedding Weaknesses; LLM09:2025 Misinformation; LLM10:2025 Unbounded Consumption</t>
  </si>
  <si>
    <t xml:space="preserve">A.8.8 Management of technical vulnerabilities; A.8.29 Security testing in development and acceptance; A.5.7 Threat intelligence; A.8.34 Protection of information systems during audit testing</t>
  </si>
  <si>
    <t xml:space="preserve">MAS 5.14 to 5.15; MAS 5.22; MAS 5.24; SG5</t>
  </si>
  <si>
    <t xml:space="preserve">HK5; Risk-commensurate management: materiality and</t>
  </si>
  <si>
    <t xml:space="preserve">AI-CTRL-034.R2</t>
  </si>
  <si>
    <t xml:space="preserve">Run a regression suite in the pipeline and whenever the model, prompt, tools or data change.</t>
  </si>
  <si>
    <t xml:space="preserve">AI-CTRL-034.R3</t>
  </si>
  <si>
    <t xml:space="preserve">The risk owner sets the acceptable attack success rate in writing.</t>
  </si>
  <si>
    <t xml:space="preserve">AI-CTRL-034.R4</t>
  </si>
  <si>
    <t xml:space="preserve">Re-run the regression suite whenever the model version, prompt, retrieval source or guardrail changes, including changes made by the provider, and set a tolerance for run-to-run output variation.</t>
  </si>
  <si>
    <t xml:space="preserve">AI-CTRL-034.R5</t>
  </si>
  <si>
    <t xml:space="preserve">Review each system's behaviour against its defined parameters at least quarterly, or at a frequency set by a documented risk analysis, and re-validate before go-live and after any change.</t>
  </si>
  <si>
    <t xml:space="preserve">AI-CTRL-034.R6</t>
  </si>
  <si>
    <t xml:space="preserve">Where an AI reviewer replaces manual code review, measure its detection rate on seeded flaws and re-measure when its model or configuration changes.</t>
  </si>
  <si>
    <t xml:space="preserve">AI-CTRL-034.R7</t>
  </si>
  <si>
    <t xml:space="preserve">Track AI threat intelligence, such as new MITRE ATLAS techniques, published incidents and provider advisories, and add relevant techniques to the threat cases and regression suite.</t>
  </si>
  <si>
    <t xml:space="preserve">AI-CTRL-034.R8</t>
  </si>
  <si>
    <t xml:space="preserve">Before testing a production system, agree the scope, timing and safeguards with its owner, and use test accounts and test data.</t>
  </si>
  <si>
    <t xml:space="preserve">AI-CTRL-035.R1</t>
  </si>
  <si>
    <t xml:space="preserve">AI-CTRL-035</t>
  </si>
  <si>
    <t xml:space="preserve">AI Incident Response and Forensics</t>
  </si>
  <si>
    <t xml:space="preserve">Maintain AI-specific playbooks and an incident taxonomy.</t>
  </si>
  <si>
    <t xml:space="preserve">Playbooks; exercise records; preserved-state checklist; provider contact and escalation path.</t>
  </si>
  <si>
    <t xml:space="preserve">Run a tabletop or lab exercise for a prompt injection incident. Confirm the interaction can be replayed, scoped and contained using the playbook.</t>
  </si>
  <si>
    <t xml:space="preserve">AI-R09, AI-R20</t>
  </si>
  <si>
    <t xml:space="preserve">MANAGE 4.3; MANAGE 2.3; GOVERN 4.3; GOVERN 6.2</t>
  </si>
  <si>
    <t xml:space="preserve">A.8.4 Communication of incidents; A.8.3 External reporting; A.3.3 Reporting of concerns; A.6.2.6 AI system operation and monitoring</t>
  </si>
  <si>
    <t xml:space="preserve">None published in the OWASP Top 10 lists. The wiki's own identifier applies: AI-CTRL-035.</t>
  </si>
  <si>
    <t xml:space="preserve">A.5.24 Information security incident management planning and preparation; A.5.25 Assessment and decision on information security events; A.5.26 Response to information security incidents; A.5.27 Learning from information security incidents; A.5.28 Collection of evidence; A.6.8 Information security event reporting; A.5.37 Documented operating procedures</t>
  </si>
  <si>
    <t xml:space="preserve">U1; U2</t>
  </si>
  <si>
    <t xml:space="preserve">E1c; E2; E5; E6</t>
  </si>
  <si>
    <t xml:space="preserve">IN1; IN2; IN3; IN10</t>
  </si>
  <si>
    <t xml:space="preserve">MAS 3.5; MAS 5.23; SG5; SG8</t>
  </si>
  <si>
    <t xml:space="preserve">AU3; AU3a; AU8</t>
  </si>
  <si>
    <t xml:space="preserve">AI-CTRL-035.R2</t>
  </si>
  <si>
    <t xml:space="preserve">Preserve state needed for investigation: prompts, context, index snapshots, memory and model version.</t>
  </si>
  <si>
    <t xml:space="preserve">AI-CTRL-035.R3</t>
  </si>
  <si>
    <t xml:space="preserve">Define containment options and how to work with the model provider.</t>
  </si>
  <si>
    <t xml:space="preserve">AI-CTRL-035.R4</t>
  </si>
  <si>
    <t xml:space="preserve">Include AI failure scenarios in the incident response plan and its tests, even before one has caused a loss: successful prompt injection, model poisoning, an agent acting outside its defined scope, and shadow AI found with access to sensitive data.</t>
  </si>
  <si>
    <t xml:space="preserve">AI-CTRL-036.R1</t>
  </si>
  <si>
    <t xml:space="preserve">AI-CTRL-036</t>
  </si>
  <si>
    <t xml:space="preserve">AI Cost and Abuse Controls</t>
  </si>
  <si>
    <t xml:space="preserve">Attribute usage to team, application, user and key.</t>
  </si>
  <si>
    <t xml:space="preserve">Cost attribution reports; budget and quota configuration; anomaly alerts; key revocation records.</t>
  </si>
  <si>
    <t xml:space="preserve">Drive a test key past its budget and confirm enforcement. Simulate a traffic spike on a public endpoint and confirm detection and throttling.</t>
  </si>
  <si>
    <t xml:space="preserve">AI-R11</t>
  </si>
  <si>
    <t xml:space="preserve">MEASURE 2.7; MANAGE 4.1</t>
  </si>
  <si>
    <t xml:space="preserve">LLM10:2025 Unbounded Consumption</t>
  </si>
  <si>
    <t xml:space="preserve">A.8.6 Capacity management; A.8.16 Monitoring activities</t>
  </si>
  <si>
    <t xml:space="preserve">AI-CTRL-036.R2</t>
  </si>
  <si>
    <t xml:space="preserve">Set budgets, rate limits and quotas with enforcement.</t>
  </si>
  <si>
    <t xml:space="preserve">AI-CTRL-036.R3</t>
  </si>
  <si>
    <t xml:space="preserve">Detect spend anomalies and leaked keys, and limit loops and retries in agents.</t>
  </si>
  <si>
    <t xml:space="preserve">AI-CTRL-037.R1</t>
  </si>
  <si>
    <t xml:space="preserve">AI-CTRL-037</t>
  </si>
  <si>
    <t xml:space="preserve">AI Risk Assessment and Exception Management</t>
  </si>
  <si>
    <t xml:space="preserve">Keep an AI risk register with an owner and a score for every risk.</t>
  </si>
  <si>
    <t xml:space="preserve">AI risk register; treatment plans; risk acceptance records; exception register with expiry dates.</t>
  </si>
  <si>
    <t xml:space="preserve">Sample accepted risks and confirm the approver had the authority. Let a test exception expire and confirm the technical control blocks the activity again.</t>
  </si>
  <si>
    <t xml:space="preserve">AI-R02, AI-R18, AI-R28, AI-R55</t>
  </si>
  <si>
    <t xml:space="preserve">GOVERN 1.3; MAP 1.5; MANAGE 1.2; MANAGE 1.4</t>
  </si>
  <si>
    <t xml:space="preserve">Clause 6.1.2 AI risk assessment; Clause 6.1.3 AI risk treatment</t>
  </si>
  <si>
    <t xml:space="preserve">None published in the OWASP Top 10 lists. The wiki's own identifier applies: AI-CTRL-037.</t>
  </si>
  <si>
    <t xml:space="preserve">Clause 6.1.2 Information security risk assessment; Clause 6.1.3 Information security risk treatment</t>
  </si>
  <si>
    <t xml:space="preserve">O1; S5</t>
  </si>
  <si>
    <t xml:space="preserve">E1c; E8; E17</t>
  </si>
  <si>
    <t xml:space="preserve">UK5; UK6; UK13</t>
  </si>
  <si>
    <t xml:space="preserve">US5; US8; US12; US15; US16</t>
  </si>
  <si>
    <t xml:space="preserve">IN5; IN6</t>
  </si>
  <si>
    <t xml:space="preserve">MAS 1.6, 2.1 to 2.2; MAS 3.1 to 3.4; MAS 4.10 to 4.13; SG1; SG2; SG5</t>
  </si>
  <si>
    <t xml:space="preserve">CN5</t>
  </si>
  <si>
    <t xml:space="preserve">JP3; JP6</t>
  </si>
  <si>
    <t xml:space="preserve">KR3; KR4</t>
  </si>
  <si>
    <t xml:space="preserve">Board and senior management accountability: t; HK1; Risk-commensurate management: materiality and</t>
  </si>
  <si>
    <t xml:space="preserve">AI-CTRL-037.R2</t>
  </si>
  <si>
    <t xml:space="preserve">Use one scoring method so that different assessors reach the same result.</t>
  </si>
  <si>
    <t xml:space="preserve">AI-CTRL-037.R3</t>
  </si>
  <si>
    <t xml:space="preserve">Accept residual risk only at the right authority level.</t>
  </si>
  <si>
    <t xml:space="preserve">AI-CTRL-037.R4</t>
  </si>
  <si>
    <t xml:space="preserve">Give every exception an owner, a compensating control and an expiry date that the technical control enforces.</t>
  </si>
  <si>
    <t xml:space="preserve">AI-CTRL-037.R5</t>
  </si>
  <si>
    <t xml:space="preserve">Allow for attackers who use AI: set remediation and exception time limits for exposed systems on the assumption that a disclosed vulnerability can be exploited within days, and size vulnerability triage for a higher volume of findings (AI-R55).</t>
  </si>
  <si>
    <t xml:space="preserve">AI-CTRL-038.R1</t>
  </si>
  <si>
    <t xml:space="preserve">AI-CTRL-038</t>
  </si>
  <si>
    <t xml:space="preserve">Control Assurance and Audit Evidence</t>
  </si>
  <si>
    <t xml:space="preserve">Measure control effectiveness on a schedule.</t>
  </si>
  <si>
    <t xml:space="preserve">Control effectiveness results; evidence packs with collection dates; owner attestations; findings log; record change history.</t>
  </si>
  <si>
    <t xml:space="preserve">Request an evidence pack for a sampled control at short notice and check that the evidence is current. Confirm a closed finding was verified before closure.</t>
  </si>
  <si>
    <t xml:space="preserve">AI-R09, AI-R15, AI-R28</t>
  </si>
  <si>
    <t xml:space="preserve">GOVERN 1.5; MEASURE 1.2; MEASURE 1.3; MANAGE 4.2</t>
  </si>
  <si>
    <t xml:space="preserve">Clause 9.1 Monitoring, measurement, analysis and evaluation; Clause 9.2 Internal audit; Clause 9.3 Management review; Clause 10.2 Nonconformity and corrective action</t>
  </si>
  <si>
    <t xml:space="preserve">None published in the OWASP Top 10 lists. The wiki's own identifier applies: AI-CTRL-038.</t>
  </si>
  <si>
    <t xml:space="preserve">A.5.33 Protection of records; A.5.35 Independent review of information security; A.5.36 Compliance with policies, rules and standards for information security; Clause 9.2 Internal audit</t>
  </si>
  <si>
    <t xml:space="preserve">O1; U5; U12</t>
  </si>
  <si>
    <t xml:space="preserve">UK6</t>
  </si>
  <si>
    <t xml:space="preserve">US6; US14; US15</t>
  </si>
  <si>
    <t xml:space="preserve">IN6; IN7</t>
  </si>
  <si>
    <t xml:space="preserve">MAS 5.17; MAS 5.18 to 5.21; MAS 5.24; SG3; SG5</t>
  </si>
  <si>
    <t xml:space="preserve">CA6</t>
  </si>
  <si>
    <t xml:space="preserve">AI-CTRL-038.R2</t>
  </si>
  <si>
    <t xml:space="preserve">Collect evidence automatically where possible and record its age.</t>
  </si>
  <si>
    <t xml:space="preserve">AI-CTRL-038.R3</t>
  </si>
  <si>
    <t xml:space="preserve">Have control owners attest periodically.</t>
  </si>
  <si>
    <t xml:space="preserve">AI-CTRL-038.R4</t>
  </si>
  <si>
    <t xml:space="preserve">Track findings to verified closure, and protect governance records from silent change.</t>
  </si>
  <si>
    <t xml:space="preserve">AI-CTRL-039.R1</t>
  </si>
  <si>
    <t xml:space="preserve">AI-CTRL-039</t>
  </si>
  <si>
    <t xml:space="preserve">Output Reliability and Content Safety</t>
  </si>
  <si>
    <t xml:space="preserve">Ground answers in approved sources and verify citations.</t>
  </si>
  <si>
    <t xml:space="preserve">Grounding and citation test results; topic policy; harmful content filter results; factuality baseline.</t>
  </si>
  <si>
    <t xml:space="preserve">Ask questions the sources cannot answer and confirm the assistant says so. Confirm fabricated package names and links are flagged, and off-topic requests are refused.</t>
  </si>
  <si>
    <t xml:space="preserve">AI-R12, AI-R14, AI-R20</t>
  </si>
  <si>
    <t xml:space="preserve">MEASURE 2.5; MEASURE 2.6; MAP 2.2</t>
  </si>
  <si>
    <t xml:space="preserve">A.6.2.4 AI system verification and validation; A.8.2 System documentation and information for users</t>
  </si>
  <si>
    <t xml:space="preserve">LLM09:2025 Misinformation</t>
  </si>
  <si>
    <t xml:space="preserve">None published in ISO/IEC 27001 Annex A. The wiki's own identifier applies: AI-CTRL-039.</t>
  </si>
  <si>
    <t xml:space="preserve">Q3; S2; U3; U4</t>
  </si>
  <si>
    <t xml:space="preserve">E1c; E1d; E10; E16</t>
  </si>
  <si>
    <t xml:space="preserve">UK1; UK7; UK11</t>
  </si>
  <si>
    <t xml:space="preserve">US7; US11; US14</t>
  </si>
  <si>
    <t xml:space="preserve">IN4; IN9</t>
  </si>
  <si>
    <t xml:space="preserve">MAS 5.5 to 5.6; MAS 5.14 to 5.15; SG1; SG3; SG5</t>
  </si>
  <si>
    <t xml:space="preserve">AU2; AU6; AU6a</t>
  </si>
  <si>
    <t xml:space="preserve">CA4; CA5; CA7</t>
  </si>
  <si>
    <t xml:space="preserve">CN1; CN2; CN3; CN4; CN6</t>
  </si>
  <si>
    <t xml:space="preserve">JP3</t>
  </si>
  <si>
    <t xml:space="preserve">KR2</t>
  </si>
  <si>
    <t xml:space="preserve">AI-CTRL-039.R2</t>
  </si>
  <si>
    <t xml:space="preserve">Restrict assistants to their approved topics.</t>
  </si>
  <si>
    <t xml:space="preserve">AI-CTRL-039.R3</t>
  </si>
  <si>
    <t xml:space="preserve">Filter harmful and policy-violating output.</t>
  </si>
  <si>
    <t xml:space="preserve">AI-CTRL-039.R4</t>
  </si>
  <si>
    <t xml:space="preserve">Detect fabricated packages, links and references before users act on them, and measure factual accuracy against a baseline.</t>
  </si>
  <si>
    <t xml:space="preserve">AI-CTRL-040.R1</t>
  </si>
  <si>
    <t xml:space="preserve">AI-CTRL-040</t>
  </si>
  <si>
    <t xml:space="preserve">AI Service Resilience and Fail-Safe Operation</t>
  </si>
  <si>
    <t xml:space="preserve">Decide for each control whether it fails open or closed, and test it.</t>
  </si>
  <si>
    <t xml:space="preserve">Fail-mode test results; latency and load measurements; failover and restore tests; continuity and exit plans; health monitoring alerts.</t>
  </si>
  <si>
    <t xml:space="preserve">Disable the protection layer in the lab and confirm the documented fail mode. Fail over to the secondary model or region and confirm policy, logging and residency still hold.</t>
  </si>
  <si>
    <t xml:space="preserve">AI-R13, AI-R16</t>
  </si>
  <si>
    <t xml:space="preserve">MEASURE 2.7; GOVERN 6.2; MANAGE 2.3</t>
  </si>
  <si>
    <t xml:space="preserve">A.6.2.6 AI system operation and monitoring; A.4.5 System and computing resources</t>
  </si>
  <si>
    <t xml:space="preserve">None published in the OWASP Top 10 lists. The wiki's own identifier applies: AI-CTRL-040.</t>
  </si>
  <si>
    <t xml:space="preserve">A.5.29 Information security during disruption; A.5.30 ICT readiness for business continuity; A.8.6 Capacity management; A.8.13 Information backup; A.8.14 Redundancy of information processing facilities</t>
  </si>
  <si>
    <t xml:space="preserve">MAS 5.3; MAS 5.10 to 5.11; MAS 6.3; SG5</t>
  </si>
  <si>
    <t xml:space="preserve">AI-CTRL-040.R2</t>
  </si>
  <si>
    <t xml:space="preserve">Measure the latency and quality cost of controls so that teams do not remove them.</t>
  </si>
  <si>
    <t xml:space="preserve">AI-CTRL-040.R3</t>
  </si>
  <si>
    <t xml:space="preserve">Provide failover that keeps guardrails, residency and logging intact.</t>
  </si>
  <si>
    <t xml:space="preserve">AI-CTRL-040.R4</t>
  </si>
  <si>
    <t xml:space="preserve">Keep tested fallback paths for AI-dependent processes, tested backups and an exit plan for each provider.</t>
  </si>
  <si>
    <t xml:space="preserve">AI-CTRL-040.R5</t>
  </si>
  <si>
    <t xml:space="preserve">Detect silent failure of controls.</t>
  </si>
  <si>
    <t xml:space="preserve">AI-CTRL-041.R1</t>
  </si>
  <si>
    <t xml:space="preserve">AI-CTRL-041</t>
  </si>
  <si>
    <t xml:space="preserve">Fairness, Bias Testing and Explainability</t>
  </si>
  <si>
    <t xml:space="preserve">Define which decisions are high-impact.</t>
  </si>
  <si>
    <t xml:space="preserve">Bias test plan and results; customer AI-use notices; threshold approvals; necessity record for sensitive data; explanation records; human-review log; retest evidence; current bias profile with its validated application boundaries.</t>
  </si>
  <si>
    <t xml:space="preserve">Sample high-impact use cases and confirm a current bias test exists. Re-perform one test. Trace one decision to its explanation and review outcome. Confirm a failed result led to action.</t>
  </si>
  <si>
    <t xml:space="preserve">AI-R12, AI-R14, AI-R15</t>
  </si>
  <si>
    <t xml:space="preserve">MEASURE 2.11; MEASURE 2.9; MAP 5.1</t>
  </si>
  <si>
    <t xml:space="preserve">A.5.4 Assessing AI system impact on individuals or groups of individuals; A.6.2.4 AI system verification and validation; A.8.2 System documentation and information for users; A.10.4 Customers</t>
  </si>
  <si>
    <t xml:space="preserve">None published in the OWASP Top 10 lists. The wiki's own identifier applies: AI-CTRL-041.</t>
  </si>
  <si>
    <t xml:space="preserve">None published in ISO/IEC 27001 Annex A. The wiki's own identifier applies: AI-CTRL-041.</t>
  </si>
  <si>
    <t xml:space="preserve">Q3; Q4; S2; U4; U6; U9</t>
  </si>
  <si>
    <t xml:space="preserve">UK1; UK3; UK4; UK12; UK13</t>
  </si>
  <si>
    <t xml:space="preserve">US5; US8; US10; US11; US12; US15; US16</t>
  </si>
  <si>
    <t xml:space="preserve">IN4; IN5</t>
  </si>
  <si>
    <t xml:space="preserve">MAS 5.5 to 5.6; MAS 5.7 to 5.8; MAS 5.14 to 5.15; SG5; SG6</t>
  </si>
  <si>
    <t xml:space="preserve">Ethical use and fair treatment: no unfair bia; Explainability and transparency: document exp; HK1; HK3; HK4</t>
  </si>
  <si>
    <t xml:space="preserve">AI-CTRL-041.R2</t>
  </si>
  <si>
    <t xml:space="preserve">Identify the relevant groups with legal input.</t>
  </si>
  <si>
    <t xml:space="preserve">AI-CTRL-041.R3</t>
  </si>
  <si>
    <t xml:space="preserve">Test for bias before release, at least annually and on material model change, and record the method, data, thresholds, results and approvals.</t>
  </si>
  <si>
    <t xml:space="preserve">AI-CTRL-041.R4</t>
  </si>
  <si>
    <t xml:space="preserve">Where sensitive data is needed for testing, record why it is necessary and the safeguards.</t>
  </si>
  <si>
    <t xml:space="preserve">AI-CTRL-041.R5</t>
  </si>
  <si>
    <t xml:space="preserve">Tell customers before an AI-powered service is provided that AI is used and what its main risks and limits are, in plain language.</t>
  </si>
  <si>
    <t xml:space="preserve">AI-CTRL-041.R6</t>
  </si>
  <si>
    <t xml:space="preserve">Give an explanation for each high-impact decision and a route to human review.</t>
  </si>
  <si>
    <t xml:space="preserve">AI-CTRL-041.R7</t>
  </si>
  <si>
    <t xml:space="preserve">Block or condition release when a threshold fails.</t>
  </si>
  <si>
    <t xml:space="preserve">AI-CTRL-041.R8</t>
  </si>
  <si>
    <t xml:space="preserve">Keep a versioned bias profile for each system that records which differences in treatment are intended and which are not, the stakeholder groups considered, how representative the test data is, the risks accepted and who accepted them, and the application boundaries within which the system was validated; monitor for drift outside them.</t>
  </si>
  <si>
    <t xml:space="preserve">AI-CTRL-042.R1</t>
  </si>
  <si>
    <t xml:space="preserve">AI-CTRL-042</t>
  </si>
  <si>
    <t xml:space="preserve">Fundamental Rights and Data Protection Impact Assessment</t>
  </si>
  <si>
    <t xml:space="preserve">Run a combined data protection and fundamental rights impact assessment before go-live for in-scope systems.</t>
  </si>
  <si>
    <t xml:space="preserve">Completed assessments; data protection officer advice; approvals dated before go-live; review dates; reassessment records.</t>
  </si>
  <si>
    <t xml:space="preserve">Sample in-scope systems and confirm the assessment predates go-live. Check that each risk maps to a mitigation. Confirm that the last material change triggered a reassessment.</t>
  </si>
  <si>
    <t xml:space="preserve">AI-R10, AI-R12, AI-R28</t>
  </si>
  <si>
    <t xml:space="preserve">MAP 5.1; MAP 1.1; GOVERN 1.1</t>
  </si>
  <si>
    <t xml:space="preserve">A.5.2 AI system impact assessment process; A.5.3 Documentation of AI system impact assessments; A.5.4 Assessing AI system impact on individuals or groups of individuals; A.5.5 Assessing societal impacts of AI systems</t>
  </si>
  <si>
    <t xml:space="preserve">None published in the OWASP Top 10 lists. The wiki's own identifier applies: AI-CTRL-042.</t>
  </si>
  <si>
    <t xml:space="preserve">A.5.8 Information security in project management; A.5.31 Legal, statutory, regulatory and contractual requirements; A.5.34 Privacy and protection of PII</t>
  </si>
  <si>
    <t xml:space="preserve">UK13</t>
  </si>
  <si>
    <t xml:space="preserve">AI-CTRL-042.R2</t>
  </si>
  <si>
    <t xml:space="preserve">Record purpose, data, groups affected, risks, oversight, mitigation, consultation and decision.</t>
  </si>
  <si>
    <t xml:space="preserve">AI-CTRL-042.R3</t>
  </si>
  <si>
    <t xml:space="preserve">Include intended and reasonably foreseeable unintended uses and misuse, the deployment regions and languages, the data and its quality, and benefits as well as harms, as listed in ISO/IEC 42005:2025 clause 6.</t>
  </si>
  <si>
    <t xml:space="preserve">AI-CTRL-042.R4</t>
  </si>
  <si>
    <t xml:space="preserve">Record the data protection officer's advice and how it was handled.</t>
  </si>
  <si>
    <t xml:space="preserve">AI-CTRL-042.R5</t>
  </si>
  <si>
    <t xml:space="preserve">Reassess on material change and at least annually.</t>
  </si>
  <si>
    <t xml:space="preserve">AI-CTRL-043.R1</t>
  </si>
  <si>
    <t xml:space="preserve">AI-CTRL-043</t>
  </si>
  <si>
    <t xml:space="preserve">Regulator and Authority Engagement</t>
  </si>
  <si>
    <t xml:space="preserve">Keep a register of the authorities and ethics bodies relevant to each AI system and jurisdiction, with the duties each one sets and an owner for each duty.</t>
  </si>
  <si>
    <t xml:space="preserve">Authority register; filing and registration records; representative appointments; contact log; watchlist of pending rules.</t>
  </si>
  <si>
    <t xml:space="preserve">Sample AI systems and confirm each lists its authorities and duties. Trace one filing or notification to its due date and evidence. Confirm the register was reviewed in the period.</t>
  </si>
  <si>
    <t xml:space="preserve">AI-R09, AI-R10</t>
  </si>
  <si>
    <t xml:space="preserve">GOVERN 1.1; GOVERN 5.1</t>
  </si>
  <si>
    <t xml:space="preserve">Clause 4.2 Understanding the needs and expectations of interested parties; A.8.3 External reporting; A.8.5 Information for interested parties</t>
  </si>
  <si>
    <t xml:space="preserve">None published in the OWASP Top 10 lists. The wiki's own identifier applies: AI-CTRL-043.</t>
  </si>
  <si>
    <t xml:space="preserve">A.5.5 Contact with authorities; A.5.31 Legal, statutory, regulatory and contractual requirements; A.5.6 Contact with special interest groups</t>
  </si>
  <si>
    <t xml:space="preserve">AI-CTRL-043.R2</t>
  </si>
  <si>
    <t xml:space="preserve">Track filings, registrations and local representative appointments to their due dates.</t>
  </si>
  <si>
    <t xml:space="preserve">AI-CTRL-043.R3</t>
  </si>
  <si>
    <t xml:space="preserve">Log every contact and its outcome.</t>
  </si>
  <si>
    <t xml:space="preserve">AI-CTRL-043.R4</t>
  </si>
  <si>
    <t xml:space="preserve">Watch for new guidance and pending rules, and review the register on a schedule.</t>
  </si>
  <si>
    <t xml:space="preserve">AI-CTRL-043.R5</t>
  </si>
  <si>
    <t xml:space="preserve">Keep contact with AI security interest groups and information-sharing communities, and record what is shared with them.</t>
  </si>
  <si>
    <t xml:space="preserve">AI-CTRL-044.R1</t>
  </si>
  <si>
    <t xml:space="preserve">AI-CTRL-044</t>
  </si>
  <si>
    <t xml:space="preserve">AI Literacy and Role-Based Competence</t>
  </si>
  <si>
    <t xml:space="preserve">Define the knowledge each role group needs, from board members to human reviewers and contractors.</t>
  </si>
  <si>
    <t xml:space="preserve">Role and needs matrix; programme and modules; completion records; effectiveness checks.</t>
  </si>
  <si>
    <t xml:space="preserve">Sample staff in three role groups and confirm each completed training that matches the role. Confirm human reviewers were trained before they were assigned. Review one effectiveness check.</t>
  </si>
  <si>
    <t xml:space="preserve">AI-R02, AI-R19</t>
  </si>
  <si>
    <t xml:space="preserve">GOVERN 2.2; MAP 3.4</t>
  </si>
  <si>
    <t xml:space="preserve">Clause 7.2 Competence; Clause 7.3 Awareness; A.4.6 Human resources</t>
  </si>
  <si>
    <t xml:space="preserve">None published in the OWASP Top 10 lists. The wiki's own identifier applies: AI-CTRL-044.</t>
  </si>
  <si>
    <t xml:space="preserve">A.6.3 Information security awareness, education and training</t>
  </si>
  <si>
    <t xml:space="preserve">MAS 2.3 to 2.5; MAS 3.5; MAS 6.1 to 6.2; SG5</t>
  </si>
  <si>
    <t xml:space="preserve">Resources and expertise: adequate resources a</t>
  </si>
  <si>
    <t xml:space="preserve">AI-CTRL-044.R2</t>
  </si>
  <si>
    <t xml:space="preserve">Deliver role-based training on a schedule and when a role or a system changes.</t>
  </si>
  <si>
    <t xml:space="preserve">AI-CTRL-044.R3</t>
  </si>
  <si>
    <t xml:space="preserve">Record completion and results.</t>
  </si>
  <si>
    <t xml:space="preserve">AI-CTRL-044.R4</t>
  </si>
  <si>
    <t xml:space="preserve">Check that the training works, for example through scenario tests and reviewer override rates.</t>
  </si>
  <si>
    <t xml:space="preserve">AI-CTRL-045.R1</t>
  </si>
  <si>
    <t xml:space="preserve">AI-CTRL-045</t>
  </si>
  <si>
    <t xml:space="preserve">Human Oversight Design and Effectiveness</t>
  </si>
  <si>
    <t xml:space="preserve">Set, by risk tier, where a person must review, approve or be able to intervene: before the output is used, while the system runs, and after the fact by sampling.</t>
  </si>
  <si>
    <t xml:space="preserve">Oversight design record per in-scope use case; overseer roles, authority and training records; sampled re-review results; override and escalation metrics; seeded-error test results.</t>
  </si>
  <si>
    <t xml:space="preserve">Select a high-tier use case and compare the oversight points in operation with the design record. Interview two overseers about the evidence they see and their authority to override. Submit a set of known-wrong outputs and measure how many are caught. Confirm the overseers can stop the system and that override metrics are reviewed.</t>
  </si>
  <si>
    <t xml:space="preserve">AI-R07, AI-R12, AI-R14, AI-R18, AI-R19, AI-R28</t>
  </si>
  <si>
    <t xml:space="preserve">None published in ISO/IEC 27001 Annex A. The wiki's own identifier applies: AI-CTRL-045.</t>
  </si>
  <si>
    <t xml:space="preserve">MAS 5.9; SG5</t>
  </si>
  <si>
    <t xml:space="preserve">HK1; HK3; HK6; Use-case owners and human oversight: a named </t>
  </si>
  <si>
    <t xml:space="preserve">AI-CTRL-045.R2</t>
  </si>
  <si>
    <t xml:space="preserve">Give each overseer the evidence behind the output (sources, confidence, alternatives) and not only the result, the authority and time to override, and training that matches the role (AI-CTRL-044).</t>
  </si>
  <si>
    <t xml:space="preserve">AI-CTRL-045.R3</t>
  </si>
  <si>
    <t xml:space="preserve">Keep the volume per reviewer low enough to be reviewed, and give overseers a way to stop or roll back the system (AI-CTRL-025).</t>
  </si>
  <si>
    <t xml:space="preserve">AI-CTRL-045.R4</t>
  </si>
  <si>
    <t xml:space="preserve">Measure effectiveness: override and escalation rates, time per review, results of independent re-review of a sample, and detection of seeded errors.</t>
  </si>
  <si>
    <t xml:space="preserve">AI-CTRL-045.R5</t>
  </si>
  <si>
    <t xml:space="preserve">Reassess the design when the measures show rubber-stamping.</t>
  </si>
  <si>
    <t xml:space="preserve">AI-CTRL-045.R6</t>
  </si>
  <si>
    <t xml:space="preserve">This control covers oversight of AI-assisted decisions in general; AI-CTRL-023 gates specific irreversible agent actions.</t>
  </si>
  <si>
    <t xml:space="preserve">AI-CTRL-045.R7</t>
  </si>
  <si>
    <t xml:space="preserve">Before an agent may act without per-action approval (a person over the loop rather than in it), record and approve: why per-action approval is not workable, the responsible person and why they are suited, which actions run without approval, the minimum privileges, how output is validated, how actions are logged and how often logs are reviewed, how the agent is disabled and on what triggers, and how its actions are reversed.</t>
  </si>
  <si>
    <t xml:space="preserve">AI-CTRL-045.R8</t>
  </si>
  <si>
    <t xml:space="preserve">Keep per-action approval for any action involving cleartext payment card data.</t>
  </si>
  <si>
    <t xml:space="preserve">AI-CTRL-046.R1</t>
  </si>
  <si>
    <t xml:space="preserve">AI-CTRL-046</t>
  </si>
  <si>
    <t xml:space="preserve">Intellectual Property and Copyright Governance</t>
  </si>
  <si>
    <t xml:space="preserve">Set a policy on what third-party copyrighted or licensed material staff may submit to AI tools, and on how AI output may be used in products, code and publications.</t>
  </si>
  <si>
    <t xml:space="preserve">IP and acceptable-use policy; vendor terms review; training data provenance and licence records; scan results; exception log.</t>
  </si>
  <si>
    <t xml:space="preserve">Sample vendors and confirm the terms were reviewed for output ownership and indemnity. Sample released AI-generated artefacts and confirm a scan result or a documented exception. Sample fine-tuning datasets and confirm source and licence are recorded.</t>
  </si>
  <si>
    <t xml:space="preserve">AI-R27</t>
  </si>
  <si>
    <t xml:space="preserve">MAP 4.1</t>
  </si>
  <si>
    <t xml:space="preserve">A.7.5 Data provenance; A.10.3 Suppliers</t>
  </si>
  <si>
    <t xml:space="preserve">None published in the OWASP Top 10 lists. The wiki's own identifier applies: AI-CTRL-046.</t>
  </si>
  <si>
    <t xml:space="preserve">A.5.20 Addressing information security within supplier agreements; A.5.31 Legal, statutory, regulatory and contractual requirements; A.5.32 Intellectual property rights</t>
  </si>
  <si>
    <t xml:space="preserve">AI-CTRL-046.R2</t>
  </si>
  <si>
    <t xml:space="preserve">Review vendor terms for ownership of output, indemnity for infringement claims and use of inputs for training.</t>
  </si>
  <si>
    <t xml:space="preserve">AI-CTRL-046.R3</t>
  </si>
  <si>
    <t xml:space="preserve">Record the source and licence of training and fine-tuning data (AI-CTRL-029).</t>
  </si>
  <si>
    <t xml:space="preserve">AI-CTRL-046.R4</t>
  </si>
  <si>
    <t xml:space="preserve">Where policy requires, scan AI-generated code and content for licence and similarity matches before release.</t>
  </si>
  <si>
    <t xml:space="preserve">AI-CTRL-046.R5</t>
  </si>
  <si>
    <t xml:space="preserve">Record exceptions with an owner and an expiry date.</t>
  </si>
  <si>
    <t xml:space="preserve">YN</t>
  </si>
  <si>
    <t xml:space="preserve">Stage</t>
  </si>
  <si>
    <t xml:space="preserve">Deployment</t>
  </si>
  <si>
    <t xml:space="preserve">Response</t>
  </si>
  <si>
    <t xml:space="preserve">Review</t>
  </si>
  <si>
    <t xml:space="preserve">EvidenceType</t>
  </si>
  <si>
    <t xml:space="preserve">Policy/Procedure</t>
  </si>
  <si>
    <t xml:space="preserve">Design Document</t>
  </si>
  <si>
    <t xml:space="preserve">Architecture Diagram</t>
  </si>
  <si>
    <t xml:space="preserve">Technical Documentation</t>
  </si>
  <si>
    <t xml:space="preserve">Configuration Evidence</t>
  </si>
  <si>
    <t xml:space="preserve">Test Report</t>
  </si>
  <si>
    <t xml:space="preserve">Assessment Report</t>
  </si>
  <si>
    <t xml:space="preserve">Certification/Attestation</t>
  </si>
  <si>
    <t xml:space="preserve">Contract/Legal</t>
  </si>
  <si>
    <t xml:space="preserve">Log Sample</t>
  </si>
  <si>
    <t xml:space="preserve">Register/Inventory</t>
  </si>
  <si>
    <t xml:space="preserve">Screenshot/Demo</t>
  </si>
  <si>
    <t xml:space="preserve">Code/Pipeline Artifact</t>
  </si>
</sst>
</file>

<file path=xl/styles.xml><?xml version="1.0" encoding="utf-8"?>
<styleSheet xmlns="http://schemas.openxmlformats.org/spreadsheetml/2006/main">
  <numFmts count="4">
    <numFmt numFmtId="164" formatCode="General"/>
    <numFmt numFmtId="165" formatCode="General"/>
    <numFmt numFmtId="166" formatCode="0%"/>
    <numFmt numFmtId="167" formatCode="yyyy\-mm\-dd"/>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i val="true"/>
      <sz val="9"/>
      <color rgb="FF595959"/>
      <name val="Arial"/>
      <family val="0"/>
      <charset val="1"/>
    </font>
    <font>
      <b val="true"/>
      <sz val="10"/>
      <color rgb="FFFFFFFF"/>
      <name val="Arial"/>
      <family val="0"/>
      <charset val="1"/>
    </font>
    <font>
      <b val="true"/>
      <sz val="10"/>
      <color rgb="FF1F3864"/>
      <name val="Arial"/>
      <family val="0"/>
      <charset val="1"/>
    </font>
  </fonts>
  <fills count="16">
    <fill>
      <patternFill patternType="none"/>
    </fill>
    <fill>
      <patternFill patternType="gray125"/>
    </fill>
    <fill>
      <patternFill patternType="solid">
        <fgColor rgb="FFC00000"/>
        <bgColor rgb="FF800000"/>
      </patternFill>
    </fill>
    <fill>
      <patternFill patternType="solid">
        <fgColor rgb="FFFFFFFF"/>
        <bgColor rgb="FFF2F2F2"/>
      </patternFill>
    </fill>
    <fill>
      <patternFill patternType="solid">
        <fgColor rgb="FFFBEAEA"/>
        <bgColor rgb="FFFCE4D6"/>
      </patternFill>
    </fill>
    <fill>
      <patternFill patternType="solid">
        <fgColor rgb="FF3A3A3A"/>
        <bgColor rgb="FF333300"/>
      </patternFill>
    </fill>
    <fill>
      <patternFill patternType="solid">
        <fgColor rgb="FF548235"/>
        <bgColor rgb="FF595959"/>
      </patternFill>
    </fill>
    <fill>
      <patternFill patternType="solid">
        <fgColor rgb="FFE7E6E6"/>
        <bgColor rgb="FFDDEBF7"/>
      </patternFill>
    </fill>
    <fill>
      <patternFill patternType="solid">
        <fgColor rgb="FF1F4E79"/>
        <bgColor rgb="FF1F3864"/>
      </patternFill>
    </fill>
    <fill>
      <patternFill patternType="solid">
        <fgColor rgb="FF2E75B6"/>
        <bgColor rgb="FF1F6E8C"/>
      </patternFill>
    </fill>
    <fill>
      <patternFill patternType="solid">
        <fgColor rgb="FF7F6000"/>
        <bgColor rgb="FF595959"/>
      </patternFill>
    </fill>
    <fill>
      <patternFill patternType="solid">
        <fgColor rgb="FF1F6E8C"/>
        <bgColor rgb="FF2E75B6"/>
      </patternFill>
    </fill>
    <fill>
      <patternFill patternType="solid">
        <fgColor rgb="FF595959"/>
        <bgColor rgb="FF3A3A3A"/>
      </patternFill>
    </fill>
    <fill>
      <patternFill patternType="solid">
        <fgColor rgb="FFFCE4D6"/>
        <bgColor rgb="FFFBEAEA"/>
      </patternFill>
    </fill>
    <fill>
      <patternFill patternType="solid">
        <fgColor rgb="FFDDEBF7"/>
        <bgColor rgb="FFE7E6E6"/>
      </patternFill>
    </fill>
    <fill>
      <patternFill patternType="solid">
        <fgColor rgb="FFFFF2CC"/>
        <bgColor rgb="FFFCE4D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6" fillId="6" borderId="0" xfId="0" applyFont="true" applyBorder="false" applyAlignment="false" applyProtection="false">
      <alignment horizontal="general" vertical="bottom" textRotation="0" wrapText="fals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5" fontId="8" fillId="7" borderId="1" xfId="0" applyFont="true" applyBorder="true" applyAlignment="true" applyProtection="false">
      <alignment horizontal="center" vertical="top" textRotation="0" wrapText="true" indent="0" shrinkToFit="false"/>
      <protection locked="true" hidden="false"/>
    </xf>
    <xf numFmtId="166" fontId="8" fillId="7" borderId="1" xfId="0" applyFont="true" applyBorder="true" applyAlignment="true" applyProtection="false">
      <alignment horizontal="center" vertical="top" textRotation="0" wrapText="true" indent="0" shrinkToFit="false"/>
      <protection locked="true" hidden="false"/>
    </xf>
    <xf numFmtId="164" fontId="4" fillId="8" borderId="0" xfId="0" applyFont="true" applyBorder="false" applyAlignment="true" applyProtection="false">
      <alignment horizontal="general" vertical="center"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11" fillId="8" borderId="1" xfId="0" applyFont="true" applyBorder="true" applyAlignment="true" applyProtection="false">
      <alignment horizontal="center" vertical="top" textRotation="0" wrapText="true" indent="0" shrinkToFit="false"/>
      <protection locked="true" hidden="false"/>
    </xf>
    <xf numFmtId="164" fontId="11" fillId="9" borderId="1" xfId="0" applyFont="true" applyBorder="true" applyAlignment="true" applyProtection="false">
      <alignment horizontal="center" vertical="top" textRotation="0" wrapText="true" indent="0" shrinkToFit="false"/>
      <protection locked="true" hidden="false"/>
    </xf>
    <xf numFmtId="164" fontId="11" fillId="10" borderId="1" xfId="0" applyFont="true" applyBorder="true" applyAlignment="true" applyProtection="false">
      <alignment horizontal="center" vertical="top" textRotation="0" wrapText="true" indent="0" shrinkToFit="false"/>
      <protection locked="true" hidden="false"/>
    </xf>
    <xf numFmtId="164" fontId="11" fillId="11" borderId="1" xfId="0" applyFont="true" applyBorder="true" applyAlignment="true" applyProtection="false">
      <alignment horizontal="center" vertical="top" textRotation="0" wrapText="true" indent="0" shrinkToFit="false"/>
      <protection locked="true" hidden="false"/>
    </xf>
    <xf numFmtId="164" fontId="11" fillId="12" borderId="1" xfId="0" applyFont="true" applyBorder="true" applyAlignment="true" applyProtection="false">
      <alignment horizontal="center"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13" borderId="1" xfId="0" applyFont="true" applyBorder="true" applyAlignment="true" applyProtection="false">
      <alignment horizontal="center" vertical="top" textRotation="0" wrapText="true" indent="0" shrinkToFit="false"/>
      <protection locked="true" hidden="false"/>
    </xf>
    <xf numFmtId="164" fontId="8" fillId="14" borderId="1" xfId="0" applyFont="true" applyBorder="true" applyAlignment="true" applyProtection="false">
      <alignment horizontal="center" vertical="top" textRotation="0" wrapText="true" indent="0" shrinkToFit="false"/>
      <protection locked="true" hidden="false"/>
    </xf>
    <xf numFmtId="164" fontId="8" fillId="14" borderId="1" xfId="0" applyFont="true" applyBorder="true" applyAlignment="true" applyProtection="false">
      <alignment horizontal="general" vertical="top" textRotation="0" wrapText="true" indent="0" shrinkToFit="false"/>
      <protection locked="true" hidden="false"/>
    </xf>
    <xf numFmtId="164" fontId="8" fillId="15" borderId="1" xfId="0" applyFont="true" applyBorder="true" applyAlignment="true" applyProtection="false">
      <alignment horizontal="center" vertical="top" textRotation="0" wrapText="true" indent="0" shrinkToFit="false"/>
      <protection locked="true" hidden="false"/>
    </xf>
    <xf numFmtId="164" fontId="8" fillId="15" borderId="1" xfId="0" applyFont="true" applyBorder="true" applyAlignment="true" applyProtection="false">
      <alignment horizontal="general" vertical="top" textRotation="0" wrapText="true" indent="0" shrinkToFit="false"/>
      <protection locked="true" hidden="false"/>
    </xf>
    <xf numFmtId="167" fontId="8" fillId="15" borderId="1" xfId="0" applyFont="true" applyBorder="true" applyAlignment="true" applyProtection="false">
      <alignment horizontal="center" vertical="top" textRotation="0" wrapText="tru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ill>
        <patternFill patternType="solid">
          <fgColor rgb="FF1F4E79"/>
          <bgColor rgb="FF000000"/>
        </patternFill>
      </fill>
    </dxf>
    <dxf>
      <fill>
        <patternFill patternType="solid">
          <fgColor rgb="FFFFFFFF"/>
          <bgColor rgb="FF000000"/>
        </patternFill>
      </fill>
    </dxf>
    <dxf>
      <fill>
        <patternFill patternType="solid">
          <fgColor rgb="FF1F3864"/>
          <bgColor rgb="FF000000"/>
        </patternFill>
      </fill>
    </dxf>
    <dxf>
      <fill>
        <patternFill patternType="solid">
          <bgColor rgb="FF000000"/>
        </patternFill>
      </fill>
    </dxf>
    <dxf>
      <fill>
        <patternFill patternType="solid">
          <fgColor rgb="FF2E75B6"/>
          <bgColor rgb="FF000000"/>
        </patternFill>
      </fill>
    </dxf>
    <dxf>
      <fill>
        <patternFill patternType="solid">
          <fgColor rgb="FF7F6000"/>
          <bgColor rgb="FF000000"/>
        </patternFill>
      </fill>
    </dxf>
    <dxf>
      <fill>
        <patternFill patternType="solid">
          <fgColor rgb="FFFCE4D6"/>
          <bgColor rgb="FF000000"/>
        </patternFill>
      </fill>
    </dxf>
    <dxf>
      <fill>
        <patternFill patternType="solid">
          <fgColor rgb="FF1F6E8C"/>
          <bgColor rgb="FF000000"/>
        </patternFill>
      </fill>
    </dxf>
    <dxf>
      <fill>
        <patternFill patternType="solid">
          <fgColor rgb="FFDDEBF7"/>
          <bgColor rgb="FF000000"/>
        </patternFill>
      </fill>
    </dxf>
    <dxf>
      <fill>
        <patternFill patternType="solid">
          <fgColor rgb="FFD9D9D9"/>
          <bgColor rgb="FF000000"/>
        </patternFill>
      </fill>
    </dxf>
    <dxf>
      <fill>
        <patternFill patternType="solid">
          <fgColor rgb="FFFFF2CC"/>
          <bgColor rgb="FF000000"/>
        </patternFill>
      </fill>
    </dxf>
    <dxf>
      <fill>
        <patternFill patternType="solid">
          <fgColor rgb="FF595959"/>
          <bgColor rgb="FF000000"/>
        </patternFill>
      </fill>
    </dxf>
    <dxf>
      <fill>
        <patternFill patternType="solid">
          <fgColor rgb="FFE7E6E6"/>
          <bgColor rgb="FF000000"/>
        </patternFill>
      </fill>
    </dxf>
    <dxf>
      <font>
        <name val="Arial"/>
        <charset val="1"/>
        <family val="0"/>
        <b val="1"/>
      </font>
      <fill>
        <patternFill>
          <bgColor rgb="FFD9D9D9"/>
        </patternFill>
      </fill>
    </dxf>
    <dxf>
      <font>
        <name val="Arial"/>
        <charset val="1"/>
        <family val="0"/>
        <b val="1"/>
      </font>
      <fill>
        <patternFill>
          <bgColor rgb="FFC6EFCE"/>
        </patternFill>
      </fill>
    </dxf>
    <dxf>
      <font>
        <name val="Arial"/>
        <charset val="1"/>
        <family val="0"/>
        <b val="1"/>
      </font>
      <fill>
        <patternFill>
          <bgColor rgb="FFFF7C80"/>
        </patternFill>
      </fill>
    </dxf>
    <dxf>
      <font>
        <name val="Arial"/>
        <charset val="1"/>
        <family val="0"/>
        <b val="1"/>
      </font>
      <fill>
        <patternFill>
          <bgColor rgb="FFFFEB9C"/>
        </patternFill>
      </fill>
    </dxf>
    <dxf>
      <font>
        <name val="Arial"/>
        <charset val="1"/>
        <family val="0"/>
        <b val="1"/>
      </font>
      <fill>
        <patternFill>
          <bgColor rgb="FFF2F2F2"/>
        </patternFill>
      </fill>
    </dxf>
    <dxf>
      <font>
        <name val="Arial"/>
        <charset val="1"/>
        <family val="0"/>
      </font>
      <fill>
        <patternFill>
          <bgColor rgb="FFFFEB9C"/>
        </patternFill>
      </fill>
    </dxf>
    <dxf>
      <font>
        <name val="Arial"/>
        <charset val="1"/>
        <family val="0"/>
      </font>
      <fill>
        <patternFill>
          <bgColor rgb="FFF8CBAD"/>
        </patternFill>
      </fill>
    </dxf>
    <dxf>
      <font>
        <name val="Arial"/>
        <charset val="1"/>
        <family val="0"/>
      </font>
      <fill>
        <patternFill>
          <bgColor rgb="FFC6EFCE"/>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1F6E8C"/>
      <rgbColor rgb="FFBFBFBF"/>
      <rgbColor rgb="FF7F7F7F"/>
      <rgbColor rgb="FF9999FF"/>
      <rgbColor rgb="FF993366"/>
      <rgbColor rgb="FFFFF2CC"/>
      <rgbColor rgb="FFDDEBF7"/>
      <rgbColor rgb="FF660066"/>
      <rgbColor rgb="FFFF7C80"/>
      <rgbColor rgb="FF0563C1"/>
      <rgbColor rgb="FFD9D9D9"/>
      <rgbColor rgb="FF000080"/>
      <rgbColor rgb="FFFF00FF"/>
      <rgbColor rgb="FFFFFF00"/>
      <rgbColor rgb="FF00FFFF"/>
      <rgbColor rgb="FF800080"/>
      <rgbColor rgb="FF800000"/>
      <rgbColor rgb="FF008080"/>
      <rgbColor rgb="FF0000FF"/>
      <rgbColor rgb="FF00CCFF"/>
      <rgbColor rgb="FFF2F2F2"/>
      <rgbColor rgb="FFC6EFCE"/>
      <rgbColor rgb="FFFFEB9C"/>
      <rgbColor rgb="FFE7E6E6"/>
      <rgbColor rgb="FFFCE4D6"/>
      <rgbColor rgb="FFFBEAEA"/>
      <rgbColor rgb="FFF8CBAD"/>
      <rgbColor rgb="FF2E75B6"/>
      <rgbColor rgb="FF33CCCC"/>
      <rgbColor rgb="FF99CC00"/>
      <rgbColor rgb="FFFFCC00"/>
      <rgbColor rgb="FFFF9900"/>
      <rgbColor rgb="FFFF6600"/>
      <rgbColor rgb="FF595959"/>
      <rgbColor rgb="FF969696"/>
      <rgbColor rgb="FF1F3864"/>
      <rgbColor rgb="FF548235"/>
      <rgbColor rgb="FF003300"/>
      <rgbColor rgb="FF333300"/>
      <rgbColor rgb="FF993300"/>
      <rgbColor rgb="FF993366"/>
      <rgbColor rgb="FF1F4E7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achi065.github.io/AI-Security-Wiki/03_Control_Library/03_AI_Security_Control_Objectives_Library.html" TargetMode="External"/><Relationship Id="rId2" Type="http://schemas.openxmlformats.org/officeDocument/2006/relationships/hyperlink" Target="https://nachi065.github.io/AI-Security-Wiki/02_Risk_Management/02G_Risk_Control_Test_Traceability.html" TargetMode="External"/><Relationship Id="rId3" Type="http://schemas.openxmlformats.org/officeDocument/2006/relationships/hyperlink" Target="https://nachi065.github.io/AI-Security-Wiki/05_Vendor_Evaluation/11_AI_Security_Vendor_Evaluation_Master_Framework.html" TargetMode="External"/><Relationship Id="rId4" Type="http://schemas.openxmlformats.org/officeDocument/2006/relationships/hyperlink" Target="https://nachi065.github.io/AI-Security-Wiki/23_Framework_Crosswalks/index.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35.05" hidden="false" customHeight="false" outlineLevel="0" collapsed="false">
      <c r="A5" s="5" t="s">
        <v>3</v>
      </c>
      <c r="B5" s="6" t="s">
        <v>4</v>
      </c>
    </row>
    <row r="6" customFormat="false" ht="23.85" hidden="false" customHeight="false" outlineLevel="0" collapsed="false">
      <c r="A6" s="7" t="s">
        <v>5</v>
      </c>
      <c r="B6" s="8" t="s">
        <v>6</v>
      </c>
    </row>
    <row r="7" customFormat="false" ht="23.85" hidden="false" customHeight="false" outlineLevel="0" collapsed="false">
      <c r="A7" s="5" t="s">
        <v>7</v>
      </c>
      <c r="B7" s="6" t="s">
        <v>8</v>
      </c>
    </row>
    <row r="8" customFormat="false" ht="23.85" hidden="false" customHeight="false" outlineLevel="0" collapsed="false">
      <c r="A8" s="7" t="s">
        <v>9</v>
      </c>
      <c r="B8" s="8" t="s">
        <v>10</v>
      </c>
    </row>
    <row r="9" customFormat="false" ht="23.85" hidden="false" customHeight="false" outlineLevel="0" collapsed="false">
      <c r="A9" s="5" t="s">
        <v>11</v>
      </c>
      <c r="B9" s="6" t="s">
        <v>12</v>
      </c>
    </row>
    <row r="11" customFormat="false" ht="15" hidden="false" customHeight="false" outlineLevel="0" collapsed="false">
      <c r="A11" s="4" t="s">
        <v>13</v>
      </c>
      <c r="B11" s="2"/>
    </row>
    <row r="12" customFormat="false" ht="23.85" hidden="false" customHeight="false" outlineLevel="0" collapsed="false">
      <c r="A12" s="7" t="s">
        <v>14</v>
      </c>
      <c r="B12" s="8" t="s">
        <v>15</v>
      </c>
    </row>
    <row r="13" customFormat="false" ht="23.85" hidden="false" customHeight="false" outlineLevel="0" collapsed="false">
      <c r="A13" s="5" t="s">
        <v>16</v>
      </c>
      <c r="B13" s="6" t="s">
        <v>17</v>
      </c>
    </row>
    <row r="14" customFormat="false" ht="15" hidden="false" customHeight="false" outlineLevel="0" collapsed="false">
      <c r="A14" s="7" t="s">
        <v>18</v>
      </c>
      <c r="B14" s="8" t="s">
        <v>19</v>
      </c>
    </row>
    <row r="15" customFormat="false" ht="23.85" hidden="false" customHeight="false" outlineLevel="0" collapsed="false">
      <c r="A15" s="5" t="s">
        <v>20</v>
      </c>
      <c r="B15" s="6" t="s">
        <v>21</v>
      </c>
    </row>
    <row r="16" customFormat="false" ht="23.85" hidden="false" customHeight="false" outlineLevel="0" collapsed="false">
      <c r="A16" s="7" t="s">
        <v>22</v>
      </c>
      <c r="B16" s="8" t="s">
        <v>23</v>
      </c>
    </row>
    <row r="17" customFormat="false" ht="15" hidden="false" customHeight="false" outlineLevel="0" collapsed="false">
      <c r="A17" s="5" t="s">
        <v>24</v>
      </c>
      <c r="B17" s="6" t="s">
        <v>25</v>
      </c>
    </row>
    <row r="19" customFormat="false" ht="15" hidden="false" customHeight="false" outlineLevel="0" collapsed="false">
      <c r="A19" s="4" t="s">
        <v>26</v>
      </c>
      <c r="B19" s="2"/>
    </row>
    <row r="20" customFormat="false" ht="15" hidden="false" customHeight="false" outlineLevel="0" collapsed="false">
      <c r="A20" s="7" t="s">
        <v>27</v>
      </c>
      <c r="B20" s="8" t="s">
        <v>28</v>
      </c>
    </row>
    <row r="21" customFormat="false" ht="15" hidden="false" customHeight="false" outlineLevel="0" collapsed="false">
      <c r="A21" s="5" t="s">
        <v>29</v>
      </c>
      <c r="B21" s="6" t="s">
        <v>30</v>
      </c>
    </row>
    <row r="22" customFormat="false" ht="15" hidden="false" customHeight="false" outlineLevel="0" collapsed="false">
      <c r="A22" s="7" t="s">
        <v>31</v>
      </c>
      <c r="B22" s="8" t="s">
        <v>32</v>
      </c>
    </row>
    <row r="23" customFormat="false" ht="15" hidden="false" customHeight="false" outlineLevel="0" collapsed="false">
      <c r="A23" s="5" t="s">
        <v>33</v>
      </c>
      <c r="B23" s="6" t="s">
        <v>34</v>
      </c>
    </row>
    <row r="24" customFormat="false" ht="15" hidden="false" customHeight="false" outlineLevel="0" collapsed="false">
      <c r="A24" s="7" t="s">
        <v>35</v>
      </c>
      <c r="B24" s="8" t="s">
        <v>36</v>
      </c>
    </row>
    <row r="26" customFormat="false" ht="15" hidden="false" customHeight="false" outlineLevel="0" collapsed="false">
      <c r="A26" s="4" t="s">
        <v>37</v>
      </c>
      <c r="B26" s="2"/>
    </row>
    <row r="27" customFormat="false" ht="15" hidden="false" customHeight="false" outlineLevel="0" collapsed="false">
      <c r="A27" s="5" t="s">
        <v>38</v>
      </c>
      <c r="B27" s="6" t="s">
        <v>39</v>
      </c>
    </row>
    <row r="28" customFormat="false" ht="15" hidden="false" customHeight="false" outlineLevel="0" collapsed="false">
      <c r="A28" s="7" t="s">
        <v>40</v>
      </c>
      <c r="B28" s="8" t="s">
        <v>41</v>
      </c>
    </row>
    <row r="29" customFormat="false" ht="23.85" hidden="false" customHeight="false" outlineLevel="0" collapsed="false">
      <c r="A29" s="5" t="s">
        <v>42</v>
      </c>
      <c r="B29" s="6" t="s">
        <v>43</v>
      </c>
    </row>
    <row r="31" customFormat="false" ht="15" hidden="false" customHeight="false" outlineLevel="0" collapsed="false">
      <c r="A31" s="4" t="s">
        <v>44</v>
      </c>
      <c r="B31" s="2"/>
    </row>
    <row r="32" customFormat="false" ht="15" hidden="false" customHeight="false" outlineLevel="0" collapsed="false">
      <c r="A32" s="7" t="s">
        <v>45</v>
      </c>
      <c r="B32" s="8" t="s">
        <v>46</v>
      </c>
    </row>
    <row r="33" customFormat="false" ht="15" hidden="false" customHeight="false" outlineLevel="0" collapsed="false">
      <c r="A33" s="5" t="s">
        <v>47</v>
      </c>
      <c r="B33" s="6" t="s">
        <v>48</v>
      </c>
    </row>
    <row r="34" customFormat="false" ht="15" hidden="false" customHeight="false" outlineLevel="0" collapsed="false">
      <c r="A34" s="7" t="s">
        <v>49</v>
      </c>
      <c r="B34" s="8" t="s">
        <v>50</v>
      </c>
    </row>
    <row r="35" customFormat="false" ht="15" hidden="false" customHeight="false" outlineLevel="0" collapsed="false">
      <c r="A35" s="5" t="s">
        <v>51</v>
      </c>
      <c r="B35" s="6" t="s">
        <v>52</v>
      </c>
    </row>
    <row r="36" customFormat="false" ht="15" hidden="false" customHeight="false" outlineLevel="0" collapsed="false">
      <c r="A36" s="7" t="s">
        <v>53</v>
      </c>
      <c r="B36" s="8" t="s">
        <v>54</v>
      </c>
    </row>
    <row r="38" customFormat="false" ht="15" hidden="false" customHeight="false" outlineLevel="0" collapsed="false">
      <c r="A38" s="4" t="s">
        <v>55</v>
      </c>
      <c r="B38" s="2"/>
    </row>
    <row r="39" customFormat="false" ht="15" hidden="false" customHeight="false" outlineLevel="0" collapsed="false">
      <c r="A39" s="5" t="s">
        <v>56</v>
      </c>
      <c r="B39" s="6" t="s">
        <v>57</v>
      </c>
    </row>
    <row r="40" customFormat="false" ht="15" hidden="false" customHeight="false" outlineLevel="0" collapsed="false">
      <c r="A40" s="7" t="s">
        <v>58</v>
      </c>
      <c r="B40" s="8" t="s">
        <v>59</v>
      </c>
    </row>
    <row r="41" customFormat="false" ht="15" hidden="false" customHeight="false" outlineLevel="0" collapsed="false">
      <c r="A41" s="5" t="s">
        <v>60</v>
      </c>
      <c r="B41" s="6" t="s">
        <v>61</v>
      </c>
    </row>
    <row r="42" customFormat="false" ht="15" hidden="false" customHeight="false" outlineLevel="0" collapsed="false">
      <c r="A42" s="7" t="s">
        <v>62</v>
      </c>
      <c r="B42" s="8" t="s">
        <v>63</v>
      </c>
    </row>
    <row r="44" customFormat="false" ht="15" hidden="false" customHeight="false" outlineLevel="0" collapsed="false">
      <c r="A44" s="4" t="s">
        <v>64</v>
      </c>
      <c r="B44" s="2"/>
    </row>
    <row r="45" customFormat="false" ht="15" hidden="false" customHeight="false" outlineLevel="0" collapsed="false">
      <c r="A45" s="5" t="s">
        <v>65</v>
      </c>
      <c r="B45" s="9" t="s">
        <v>66</v>
      </c>
    </row>
    <row r="46" customFormat="false" ht="15" hidden="false" customHeight="false" outlineLevel="0" collapsed="false">
      <c r="A46" s="7" t="s">
        <v>67</v>
      </c>
      <c r="B46" s="10" t="s">
        <v>68</v>
      </c>
    </row>
    <row r="47" customFormat="false" ht="23.85" hidden="false" customHeight="false" outlineLevel="0" collapsed="false">
      <c r="A47" s="5" t="s">
        <v>69</v>
      </c>
      <c r="B47" s="9" t="s">
        <v>70</v>
      </c>
    </row>
    <row r="48" customFormat="false" ht="15" hidden="false" customHeight="false" outlineLevel="0" collapsed="false">
      <c r="A48" s="7" t="s">
        <v>71</v>
      </c>
      <c r="B48" s="10" t="s">
        <v>72</v>
      </c>
    </row>
    <row r="50" customFormat="false" ht="27.75" hidden="false" customHeight="true" outlineLevel="0" collapsed="false">
      <c r="A50" s="11" t="s">
        <v>73</v>
      </c>
      <c r="B50" s="11"/>
    </row>
  </sheetData>
  <mergeCells count="1">
    <mergeCell ref="A50:B50"/>
  </mergeCells>
  <hyperlinks>
    <hyperlink ref="B45" r:id="rId1" display="https://nachi065.github.io/AI-Security-Wiki/03_Control_Library/03_AI_Security_Control_Objectives_Library.html"/>
    <hyperlink ref="B46" r:id="rId2" display="https://nachi065.github.io/AI-Security-Wiki/02_Risk_Management/02G_Risk_Control_Test_Traceability.html"/>
    <hyperlink ref="B47" r:id="rId3" display="https://nachi065.github.io/AI-Security-Wiki/05_Vendor_Evaluation/11_AI_Security_Vendor_Evaluation_Master_Framework.html"/>
    <hyperlink ref="B48" r:id="rId4" display="https://nachi065.github.io/AI-Security-Wiki/23_Framework_Crosswalks/index.html"/>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2" t="s">
        <v>62</v>
      </c>
      <c r="B1" s="13"/>
    </row>
    <row r="2" customFormat="false" ht="15" hidden="false" customHeight="false" outlineLevel="0" collapsed="false">
      <c r="A2" s="3" t="s">
        <v>74</v>
      </c>
    </row>
    <row r="4" customFormat="false" ht="15" hidden="false" customHeight="false" outlineLevel="0" collapsed="false">
      <c r="A4" s="14" t="s">
        <v>75</v>
      </c>
      <c r="B4" s="13"/>
    </row>
    <row r="5" customFormat="false" ht="15" hidden="false" customHeight="false" outlineLevel="0" collapsed="false">
      <c r="A5" s="5" t="s">
        <v>76</v>
      </c>
      <c r="B5" s="6" t="s">
        <v>0</v>
      </c>
    </row>
    <row r="6" customFormat="false" ht="15" hidden="false" customHeight="false" outlineLevel="0" collapsed="false">
      <c r="A6" s="5" t="s">
        <v>77</v>
      </c>
      <c r="B6" s="6" t="s">
        <v>78</v>
      </c>
    </row>
    <row r="7" customFormat="false" ht="23.85" hidden="false" customHeight="false" outlineLevel="0" collapsed="false">
      <c r="A7" s="5" t="s">
        <v>62</v>
      </c>
      <c r="B7" s="6" t="s">
        <v>79</v>
      </c>
    </row>
    <row r="8" customFormat="false" ht="15" hidden="false" customHeight="false" outlineLevel="0" collapsed="false">
      <c r="A8" s="5" t="s">
        <v>80</v>
      </c>
      <c r="B8" s="9" t="s">
        <v>81</v>
      </c>
    </row>
    <row r="9" customFormat="false" ht="15" hidden="false" customHeight="false" outlineLevel="0" collapsed="false">
      <c r="A9" s="5" t="s">
        <v>82</v>
      </c>
      <c r="B9" s="9" t="s">
        <v>83</v>
      </c>
    </row>
    <row r="10" customFormat="false" ht="15" hidden="false" customHeight="false" outlineLevel="0" collapsed="false">
      <c r="A10" s="5" t="s">
        <v>84</v>
      </c>
      <c r="B10" s="9" t="s">
        <v>85</v>
      </c>
    </row>
    <row r="11" customFormat="false" ht="15" hidden="false" customHeight="false" outlineLevel="0" collapsed="false">
      <c r="A11" s="5" t="s">
        <v>86</v>
      </c>
      <c r="B11" s="9" t="s">
        <v>87</v>
      </c>
    </row>
    <row r="13" customFormat="false" ht="15" hidden="false" customHeight="false" outlineLevel="0" collapsed="false">
      <c r="A13" s="14" t="s">
        <v>88</v>
      </c>
      <c r="B13" s="13"/>
    </row>
    <row r="14" customFormat="false" ht="23.85" hidden="false" customHeight="false" outlineLevel="0" collapsed="false">
      <c r="A14" s="5" t="s">
        <v>89</v>
      </c>
      <c r="B14" s="6" t="s">
        <v>90</v>
      </c>
    </row>
    <row r="15" customFormat="false" ht="35.05" hidden="false" customHeight="false" outlineLevel="0" collapsed="false">
      <c r="A15" s="5" t="s">
        <v>91</v>
      </c>
      <c r="B15" s="6" t="s">
        <v>92</v>
      </c>
    </row>
    <row r="16" customFormat="false" ht="23.85" hidden="false" customHeight="false" outlineLevel="0" collapsed="false">
      <c r="A16" s="5" t="s">
        <v>93</v>
      </c>
      <c r="B16" s="6" t="s">
        <v>94</v>
      </c>
    </row>
    <row r="18" customFormat="false" ht="15" hidden="false" customHeight="false" outlineLevel="0" collapsed="false">
      <c r="A18" s="14" t="s">
        <v>95</v>
      </c>
      <c r="B18" s="13"/>
    </row>
    <row r="19" customFormat="false" ht="23.85" hidden="false" customHeight="false" outlineLevel="0" collapsed="false">
      <c r="A19" s="5" t="s">
        <v>96</v>
      </c>
      <c r="B19" s="6" t="s">
        <v>97</v>
      </c>
    </row>
    <row r="20" customFormat="false" ht="15" hidden="false" customHeight="false" outlineLevel="0" collapsed="false">
      <c r="A20" s="5" t="s">
        <v>98</v>
      </c>
      <c r="B20" s="6" t="s">
        <v>99</v>
      </c>
    </row>
    <row r="22" customFormat="false" ht="15" hidden="false" customHeight="false" outlineLevel="0" collapsed="false">
      <c r="A22" s="14" t="s">
        <v>100</v>
      </c>
      <c r="B22" s="13"/>
    </row>
    <row r="23" customFormat="false" ht="35.05" hidden="false" customHeight="false" outlineLevel="0" collapsed="false">
      <c r="A23" s="5" t="s">
        <v>101</v>
      </c>
      <c r="B23" s="6" t="s">
        <v>102</v>
      </c>
    </row>
    <row r="25" customFormat="false" ht="15" hidden="false" customHeight="false" outlineLevel="0" collapsed="false">
      <c r="A25" s="14" t="s">
        <v>103</v>
      </c>
      <c r="B25" s="13"/>
    </row>
    <row r="26" customFormat="false" ht="35.05" hidden="false" customHeight="false" outlineLevel="0" collapsed="false">
      <c r="A26" s="5" t="s">
        <v>104</v>
      </c>
      <c r="B26" s="6" t="s">
        <v>105</v>
      </c>
    </row>
    <row r="27" customFormat="false" ht="23.85" hidden="false" customHeight="false" outlineLevel="0" collapsed="false">
      <c r="A27" s="5" t="s">
        <v>106</v>
      </c>
      <c r="B27" s="6" t="s">
        <v>107</v>
      </c>
    </row>
    <row r="28" customFormat="false" ht="15" hidden="false" customHeight="false" outlineLevel="0" collapsed="false">
      <c r="A28" s="5" t="s">
        <v>108</v>
      </c>
      <c r="B28" s="6" t="s">
        <v>109</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H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8" min="2" style="0" width="12"/>
  </cols>
  <sheetData>
    <row r="1" customFormat="false" ht="30" hidden="false" customHeight="true" outlineLevel="0" collapsed="false">
      <c r="A1" s="15" t="s">
        <v>110</v>
      </c>
      <c r="B1" s="16"/>
      <c r="C1" s="16"/>
      <c r="D1" s="16"/>
      <c r="E1" s="16"/>
      <c r="F1" s="16"/>
      <c r="G1" s="16"/>
      <c r="H1" s="16"/>
    </row>
    <row r="2" customFormat="false" ht="15" hidden="false" customHeight="false" outlineLevel="0" collapsed="false">
      <c r="A2" s="3" t="s">
        <v>111</v>
      </c>
    </row>
    <row r="4" customFormat="false" ht="15" hidden="false" customHeight="false" outlineLevel="0" collapsed="false">
      <c r="A4" s="17" t="s">
        <v>112</v>
      </c>
      <c r="B4" s="16"/>
    </row>
    <row r="5" customFormat="false" ht="15" hidden="false" customHeight="false" outlineLevel="0" collapsed="false">
      <c r="A5" s="18" t="s">
        <v>113</v>
      </c>
      <c r="B5" s="18" t="s">
        <v>114</v>
      </c>
    </row>
    <row r="6" customFormat="false" ht="15" hidden="false" customHeight="false" outlineLevel="0" collapsed="false">
      <c r="A6" s="5" t="s">
        <v>115</v>
      </c>
      <c r="B6" s="19" t="n">
        <f aca="false">COUNTA(RTM!$A$5:$A$202)</f>
        <v>198</v>
      </c>
    </row>
    <row r="7" customFormat="false" ht="15" hidden="false" customHeight="false" outlineLevel="0" collapsed="false">
      <c r="A7" s="5" t="s">
        <v>116</v>
      </c>
      <c r="B7" s="19" t="n">
        <f aca="false">COUNTIF(RTM!$AD$5:$AD$202,"Y")</f>
        <v>198</v>
      </c>
    </row>
    <row r="8" customFormat="false" ht="15" hidden="false" customHeight="false" outlineLevel="0" collapsed="false">
      <c r="A8" s="5" t="s">
        <v>117</v>
      </c>
      <c r="B8" s="19" t="n">
        <f aca="false">COUNTIFS(RTM!$AD$5:$AD$202,"Y",RTM!$AE$5:$AE$202,"Y")</f>
        <v>92</v>
      </c>
    </row>
    <row r="9" customFormat="false" ht="15" hidden="false" customHeight="false" outlineLevel="0" collapsed="false">
      <c r="A9" s="5" t="s">
        <v>118</v>
      </c>
      <c r="B9" s="19" t="n">
        <f aca="false">COUNTIFS(RTM!$AD$5:$AD$202,"Y",RTM!$AF$5:$AF$202,"&lt;&gt;")</f>
        <v>0</v>
      </c>
    </row>
    <row r="10" customFormat="false" ht="15" hidden="false" customHeight="false" outlineLevel="0" collapsed="false">
      <c r="A10" s="5" t="s">
        <v>119</v>
      </c>
      <c r="B10" s="19" t="n">
        <f aca="false">COUNTIFS(RTM!$AD$5:$AD$202,"Y",RTM!$AF$5:$AF$202,"")</f>
        <v>198</v>
      </c>
    </row>
    <row r="11" customFormat="false" ht="15" hidden="false" customHeight="false" outlineLevel="0" collapsed="false">
      <c r="A11" s="5" t="s">
        <v>120</v>
      </c>
      <c r="B11" s="19" t="n">
        <f aca="false">COUNTIFS(RTM!$AD$5:$AD$202,"Y",RTM!$AN$5:$AN$202,"No detail: treat as unanswered")</f>
        <v>0</v>
      </c>
    </row>
    <row r="12" customFormat="false" ht="15" hidden="false" customHeight="false" outlineLevel="0" collapsed="false">
      <c r="A12" s="5" t="s">
        <v>121</v>
      </c>
      <c r="B12" s="19" t="n">
        <f aca="false">COUNTIFS(RTM!$AD$5:$AD$202,"Y",RTM!$AJ$5:$AJ$202,"&lt;&gt;Pending",RTM!$AJ$5:$AJ$202,"&lt;&gt;")</f>
        <v>0</v>
      </c>
    </row>
    <row r="13" customFormat="false" ht="15" hidden="false" customHeight="false" outlineLevel="0" collapsed="false">
      <c r="A13" s="5" t="s">
        <v>122</v>
      </c>
      <c r="B13" s="20" t="n">
        <f aca="false">IFERROR(B12/B7,0)</f>
        <v>0</v>
      </c>
    </row>
    <row r="14" customFormat="false" ht="15" hidden="false" customHeight="false" outlineLevel="0" collapsed="false">
      <c r="A14" s="5" t="s">
        <v>123</v>
      </c>
      <c r="B14" s="19" t="n">
        <f aca="false">COUNTIFS(RTM!$AD$5:$AD$202,"Y",RTM!$AE$5:$AE$202,"Y",RTM!$AJ$5:$AJ$202,"Gap")</f>
        <v>0</v>
      </c>
    </row>
    <row r="16" customFormat="false" ht="15" hidden="false" customHeight="false" outlineLevel="0" collapsed="false">
      <c r="A16" s="17" t="s">
        <v>124</v>
      </c>
      <c r="B16" s="16"/>
      <c r="C16" s="16"/>
    </row>
    <row r="17" customFormat="false" ht="15" hidden="false" customHeight="false" outlineLevel="0" collapsed="false">
      <c r="A17" s="18" t="s">
        <v>125</v>
      </c>
      <c r="B17" s="18" t="s">
        <v>114</v>
      </c>
      <c r="C17" s="18" t="s">
        <v>126</v>
      </c>
    </row>
    <row r="18" customFormat="false" ht="15" hidden="false" customHeight="false" outlineLevel="0" collapsed="false">
      <c r="A18" s="5" t="s">
        <v>127</v>
      </c>
      <c r="B18" s="19" t="n">
        <f aca="false">COUNTIFS(RTM!$AD$5:$AD$202,"Y",RTM!$AJ$5:$AJ$202,"Pending")</f>
        <v>198</v>
      </c>
      <c r="C18" s="20" t="n">
        <f aca="false">IFERROR(B18/COUNTIF(RTM!$AD$5:$AD$202,"Y"),0)</f>
        <v>1</v>
      </c>
    </row>
    <row r="19" customFormat="false" ht="15" hidden="false" customHeight="false" outlineLevel="0" collapsed="false">
      <c r="A19" s="5" t="s">
        <v>128</v>
      </c>
      <c r="B19" s="19" t="n">
        <f aca="false">COUNTIFS(RTM!$AD$5:$AD$202,"Y",RTM!$AJ$5:$AJ$202,"Accepted")</f>
        <v>0</v>
      </c>
      <c r="C19" s="20" t="n">
        <f aca="false">IFERROR(B19/COUNTIF(RTM!$AD$5:$AD$202,"Y"),0)</f>
        <v>0</v>
      </c>
    </row>
    <row r="20" customFormat="false" ht="15" hidden="false" customHeight="false" outlineLevel="0" collapsed="false">
      <c r="A20" s="5" t="s">
        <v>129</v>
      </c>
      <c r="B20" s="19" t="n">
        <f aca="false">COUNTIFS(RTM!$AD$5:$AD$202,"Y",RTM!$AJ$5:$AJ$202,"Gap")</f>
        <v>0</v>
      </c>
      <c r="C20" s="20" t="n">
        <f aca="false">IFERROR(B20/COUNTIF(RTM!$AD$5:$AD$202,"Y"),0)</f>
        <v>0</v>
      </c>
    </row>
    <row r="21" customFormat="false" ht="15" hidden="false" customHeight="false" outlineLevel="0" collapsed="false">
      <c r="A21" s="5" t="s">
        <v>130</v>
      </c>
      <c r="B21" s="19" t="n">
        <f aca="false">COUNTIFS(RTM!$AD$5:$AD$202,"Y",RTM!$AJ$5:$AJ$202,"Risk Accepted")</f>
        <v>0</v>
      </c>
      <c r="C21" s="20" t="n">
        <f aca="false">IFERROR(B21/COUNTIF(RTM!$AD$5:$AD$202,"Y"),0)</f>
        <v>0</v>
      </c>
    </row>
    <row r="22" customFormat="false" ht="15" hidden="false" customHeight="false" outlineLevel="0" collapsed="false">
      <c r="A22" s="5" t="s">
        <v>131</v>
      </c>
      <c r="B22" s="19" t="n">
        <f aca="false">COUNTIFS(RTM!$AD$5:$AD$202,"Y",RTM!$AJ$5:$AJ$202,"Not Applicable")</f>
        <v>0</v>
      </c>
      <c r="C22" s="20" t="n">
        <f aca="false">IFERROR(B22/COUNTIF(RTM!$AD$5:$AD$202,"Y"),0)</f>
        <v>0</v>
      </c>
    </row>
    <row r="24" customFormat="false" ht="15" hidden="false" customHeight="false" outlineLevel="0" collapsed="false">
      <c r="A24" s="17" t="s">
        <v>132</v>
      </c>
      <c r="B24" s="16"/>
      <c r="C24" s="16"/>
    </row>
    <row r="25" customFormat="false" ht="15" hidden="false" customHeight="false" outlineLevel="0" collapsed="false">
      <c r="A25" s="18" t="s">
        <v>133</v>
      </c>
      <c r="B25" s="18" t="s">
        <v>114</v>
      </c>
      <c r="C25" s="18" t="s">
        <v>126</v>
      </c>
    </row>
    <row r="26" customFormat="false" ht="15" hidden="false" customHeight="false" outlineLevel="0" collapsed="false">
      <c r="A26" s="5" t="s">
        <v>134</v>
      </c>
      <c r="B26" s="19" t="n">
        <f aca="false">COUNTIFS(RTM!$AD$5:$AD$202,"Y",RTM!$AF$5:$AF$202,"Yes")</f>
        <v>0</v>
      </c>
      <c r="C26" s="20" t="n">
        <f aca="false">IFERROR(B26/COUNTIF(RTM!$AD$5:$AD$202,"Y"),0)</f>
        <v>0</v>
      </c>
    </row>
    <row r="27" customFormat="false" ht="15" hidden="false" customHeight="false" outlineLevel="0" collapsed="false">
      <c r="A27" s="5" t="s">
        <v>135</v>
      </c>
      <c r="B27" s="19" t="n">
        <f aca="false">COUNTIFS(RTM!$AD$5:$AD$202,"Y",RTM!$AF$5:$AF$202,"No")</f>
        <v>0</v>
      </c>
      <c r="C27" s="20" t="n">
        <f aca="false">IFERROR(B27/COUNTIF(RTM!$AD$5:$AD$202,"Y"),0)</f>
        <v>0</v>
      </c>
    </row>
    <row r="28" customFormat="false" ht="15" hidden="false" customHeight="false" outlineLevel="0" collapsed="false">
      <c r="A28" s="5" t="s">
        <v>136</v>
      </c>
      <c r="B28" s="19" t="n">
        <f aca="false">COUNTIFS(RTM!$AD$5:$AD$202,"Y",RTM!$AF$5:$AF$202,"Partial")</f>
        <v>0</v>
      </c>
      <c r="C28" s="20" t="n">
        <f aca="false">IFERROR(B28/COUNTIF(RTM!$AD$5:$AD$202,"Y"),0)</f>
        <v>0</v>
      </c>
    </row>
    <row r="29" customFormat="false" ht="15" hidden="false" customHeight="false" outlineLevel="0" collapsed="false">
      <c r="A29" s="5" t="s">
        <v>137</v>
      </c>
      <c r="B29" s="19" t="n">
        <f aca="false">COUNTIFS(RTM!$AD$5:$AD$202,"Y",RTM!$AF$5:$AF$202,"N/A")</f>
        <v>0</v>
      </c>
      <c r="C29" s="20" t="n">
        <f aca="false">IFERROR(B29/COUNTIF(RTM!$AD$5:$AD$202,"Y"),0)</f>
        <v>0</v>
      </c>
    </row>
    <row r="31" customFormat="false" ht="15" hidden="false" customHeight="false" outlineLevel="0" collapsed="false">
      <c r="A31" s="17" t="s">
        <v>138</v>
      </c>
      <c r="B31" s="16"/>
      <c r="C31" s="16"/>
      <c r="D31" s="16"/>
      <c r="E31" s="16"/>
      <c r="F31" s="16"/>
      <c r="G31" s="16"/>
      <c r="H31" s="16"/>
    </row>
    <row r="32" customFormat="false" ht="23.85" hidden="false" customHeight="false" outlineLevel="0" collapsed="false">
      <c r="A32" s="18" t="s">
        <v>139</v>
      </c>
      <c r="B32" s="18" t="s">
        <v>140</v>
      </c>
      <c r="C32" s="18" t="s">
        <v>116</v>
      </c>
      <c r="D32" s="18" t="s">
        <v>141</v>
      </c>
      <c r="E32" s="18" t="s">
        <v>128</v>
      </c>
      <c r="F32" s="18" t="s">
        <v>129</v>
      </c>
      <c r="G32" s="18" t="s">
        <v>130</v>
      </c>
      <c r="H32" s="18" t="s">
        <v>142</v>
      </c>
    </row>
    <row r="33" customFormat="false" ht="15" hidden="false" customHeight="false" outlineLevel="0" collapsed="false">
      <c r="A33" s="5" t="s">
        <v>27</v>
      </c>
      <c r="B33" s="19" t="n">
        <f aca="false">COUNTIF(RTM!$F$5:$F$202,"Discovery")</f>
        <v>23</v>
      </c>
      <c r="C33" s="19" t="n">
        <f aca="false">COUNTIFS(RTM!$F$5:$F$202,"Discovery",RTM!$AD$5:$AD$202,"Y")</f>
        <v>23</v>
      </c>
      <c r="D33" s="19" t="n">
        <f aca="false">COUNTIFS(RTM!$F$5:$F$202,"Discovery",RTM!$AD$5:$AD$202,"Y",RTM!$AE$5:$AE$202,"Y")</f>
        <v>21</v>
      </c>
      <c r="E33" s="19" t="n">
        <f aca="false">COUNTIFS(RTM!$F$5:$F$202,"Discovery",RTM!$AD$5:$AD$202,"Y",RTM!$AJ$5:$AJ$202,"Accepted")</f>
        <v>0</v>
      </c>
      <c r="F33" s="19" t="n">
        <f aca="false">COUNTIFS(RTM!$F$5:$F$202,"Discovery",RTM!$AD$5:$AD$202,"Y",RTM!$AJ$5:$AJ$202,"Gap")</f>
        <v>0</v>
      </c>
      <c r="G33" s="19" t="n">
        <f aca="false">COUNTIFS(RTM!$F$5:$F$202,"Discovery",RTM!$AD$5:$AD$202,"Y",RTM!$AJ$5:$AJ$202,"Risk Accepted")</f>
        <v>0</v>
      </c>
      <c r="H33" s="20" t="n">
        <f aca="false">IFERROR((C33-COUNTIFS(RTM!$F$5:$F$202,"Discovery",RTM!$AD$5:$AD$202,"Y",RTM!$AJ$5:$AJ$202,"Pending"))/C33,0)</f>
        <v>0</v>
      </c>
    </row>
    <row r="34" customFormat="false" ht="15" hidden="false" customHeight="false" outlineLevel="0" collapsed="false">
      <c r="A34" s="5" t="s">
        <v>29</v>
      </c>
      <c r="B34" s="19" t="n">
        <f aca="false">COUNTIF(RTM!$F$5:$F$202,"Design")</f>
        <v>34</v>
      </c>
      <c r="C34" s="19" t="n">
        <f aca="false">COUNTIFS(RTM!$F$5:$F$202,"Design",RTM!$AD$5:$AD$202,"Y")</f>
        <v>34</v>
      </c>
      <c r="D34" s="19" t="n">
        <f aca="false">COUNTIFS(RTM!$F$5:$F$202,"Design",RTM!$AD$5:$AD$202,"Y",RTM!$AE$5:$AE$202,"Y")</f>
        <v>11</v>
      </c>
      <c r="E34" s="19" t="n">
        <f aca="false">COUNTIFS(RTM!$F$5:$F$202,"Design",RTM!$AD$5:$AD$202,"Y",RTM!$AJ$5:$AJ$202,"Accepted")</f>
        <v>0</v>
      </c>
      <c r="F34" s="19" t="n">
        <f aca="false">COUNTIFS(RTM!$F$5:$F$202,"Design",RTM!$AD$5:$AD$202,"Y",RTM!$AJ$5:$AJ$202,"Gap")</f>
        <v>0</v>
      </c>
      <c r="G34" s="19" t="n">
        <f aca="false">COUNTIFS(RTM!$F$5:$F$202,"Design",RTM!$AD$5:$AD$202,"Y",RTM!$AJ$5:$AJ$202,"Risk Accepted")</f>
        <v>0</v>
      </c>
      <c r="H34" s="20" t="n">
        <f aca="false">IFERROR((C34-COUNTIFS(RTM!$F$5:$F$202,"Design",RTM!$AD$5:$AD$202,"Y",RTM!$AJ$5:$AJ$202,"Pending"))/C34,0)</f>
        <v>0</v>
      </c>
    </row>
    <row r="35" customFormat="false" ht="15" hidden="false" customHeight="false" outlineLevel="0" collapsed="false">
      <c r="A35" s="5" t="s">
        <v>31</v>
      </c>
      <c r="B35" s="19" t="n">
        <f aca="false">COUNTIF(RTM!$F$5:$F$202,"Implementation")</f>
        <v>96</v>
      </c>
      <c r="C35" s="19" t="n">
        <f aca="false">COUNTIFS(RTM!$F$5:$F$202,"Implementation",RTM!$AD$5:$AD$202,"Y")</f>
        <v>96</v>
      </c>
      <c r="D35" s="19" t="n">
        <f aca="false">COUNTIFS(RTM!$F$5:$F$202,"Implementation",RTM!$AD$5:$AD$202,"Y",RTM!$AE$5:$AE$202,"Y")</f>
        <v>41</v>
      </c>
      <c r="E35" s="19" t="n">
        <f aca="false">COUNTIFS(RTM!$F$5:$F$202,"Implementation",RTM!$AD$5:$AD$202,"Y",RTM!$AJ$5:$AJ$202,"Accepted")</f>
        <v>0</v>
      </c>
      <c r="F35" s="19" t="n">
        <f aca="false">COUNTIFS(RTM!$F$5:$F$202,"Implementation",RTM!$AD$5:$AD$202,"Y",RTM!$AJ$5:$AJ$202,"Gap")</f>
        <v>0</v>
      </c>
      <c r="G35" s="19" t="n">
        <f aca="false">COUNTIFS(RTM!$F$5:$F$202,"Implementation",RTM!$AD$5:$AD$202,"Y",RTM!$AJ$5:$AJ$202,"Risk Accepted")</f>
        <v>0</v>
      </c>
      <c r="H35" s="20" t="n">
        <f aca="false">IFERROR((C35-COUNTIFS(RTM!$F$5:$F$202,"Implementation",RTM!$AD$5:$AD$202,"Y",RTM!$AJ$5:$AJ$202,"Pending"))/C35,0)</f>
        <v>0</v>
      </c>
    </row>
    <row r="36" customFormat="false" ht="15" hidden="false" customHeight="false" outlineLevel="0" collapsed="false">
      <c r="A36" s="5" t="s">
        <v>33</v>
      </c>
      <c r="B36" s="19" t="n">
        <f aca="false">COUNTIF(RTM!$F$5:$F$202,"Platform")</f>
        <v>23</v>
      </c>
      <c r="C36" s="19" t="n">
        <f aca="false">COUNTIFS(RTM!$F$5:$F$202,"Platform",RTM!$AD$5:$AD$202,"Y")</f>
        <v>23</v>
      </c>
      <c r="D36" s="19" t="n">
        <f aca="false">COUNTIFS(RTM!$F$5:$F$202,"Platform",RTM!$AD$5:$AD$202,"Y",RTM!$AE$5:$AE$202,"Y")</f>
        <v>8</v>
      </c>
      <c r="E36" s="19" t="n">
        <f aca="false">COUNTIFS(RTM!$F$5:$F$202,"Platform",RTM!$AD$5:$AD$202,"Y",RTM!$AJ$5:$AJ$202,"Accepted")</f>
        <v>0</v>
      </c>
      <c r="F36" s="19" t="n">
        <f aca="false">COUNTIFS(RTM!$F$5:$F$202,"Platform",RTM!$AD$5:$AD$202,"Y",RTM!$AJ$5:$AJ$202,"Gap")</f>
        <v>0</v>
      </c>
      <c r="G36" s="19" t="n">
        <f aca="false">COUNTIFS(RTM!$F$5:$F$202,"Platform",RTM!$AD$5:$AD$202,"Y",RTM!$AJ$5:$AJ$202,"Risk Accepted")</f>
        <v>0</v>
      </c>
      <c r="H36" s="20" t="n">
        <f aca="false">IFERROR((C36-COUNTIFS(RTM!$F$5:$F$202,"Platform",RTM!$AD$5:$AD$202,"Y",RTM!$AJ$5:$AJ$202,"Pending"))/C36,0)</f>
        <v>0</v>
      </c>
    </row>
    <row r="37" customFormat="false" ht="15" hidden="false" customHeight="false" outlineLevel="0" collapsed="false">
      <c r="A37" s="5" t="s">
        <v>35</v>
      </c>
      <c r="B37" s="19" t="n">
        <f aca="false">COUNTIF(RTM!$F$5:$F$202,"Production")</f>
        <v>22</v>
      </c>
      <c r="C37" s="19" t="n">
        <f aca="false">COUNTIFS(RTM!$F$5:$F$202,"Production",RTM!$AD$5:$AD$202,"Y")</f>
        <v>22</v>
      </c>
      <c r="D37" s="19" t="n">
        <f aca="false">COUNTIFS(RTM!$F$5:$F$202,"Production",RTM!$AD$5:$AD$202,"Y",RTM!$AE$5:$AE$202,"Y")</f>
        <v>11</v>
      </c>
      <c r="E37" s="19" t="n">
        <f aca="false">COUNTIFS(RTM!$F$5:$F$202,"Production",RTM!$AD$5:$AD$202,"Y",RTM!$AJ$5:$AJ$202,"Accepted")</f>
        <v>0</v>
      </c>
      <c r="F37" s="19" t="n">
        <f aca="false">COUNTIFS(RTM!$F$5:$F$202,"Production",RTM!$AD$5:$AD$202,"Y",RTM!$AJ$5:$AJ$202,"Gap")</f>
        <v>0</v>
      </c>
      <c r="G37" s="19" t="n">
        <f aca="false">COUNTIFS(RTM!$F$5:$F$202,"Production",RTM!$AD$5:$AD$202,"Y",RTM!$AJ$5:$AJ$202,"Risk Accepted")</f>
        <v>0</v>
      </c>
      <c r="H37" s="20" t="n">
        <f aca="false">IFERROR((C37-COUNTIFS(RTM!$F$5:$F$202,"Production",RTM!$AD$5:$AD$202,"Y",RTM!$AJ$5:$AJ$202,"Pending"))/C37,0)</f>
        <v>0</v>
      </c>
    </row>
    <row r="39" customFormat="false" ht="15" hidden="false" customHeight="false" outlineLevel="0" collapsed="false">
      <c r="A39" s="17" t="s">
        <v>143</v>
      </c>
      <c r="B39" s="16"/>
      <c r="C39" s="16"/>
      <c r="D39" s="16"/>
      <c r="E39" s="16"/>
      <c r="F39" s="16"/>
      <c r="G39" s="16"/>
      <c r="H39" s="16"/>
    </row>
    <row r="40" customFormat="false" ht="23.85" hidden="false" customHeight="false" outlineLevel="0" collapsed="false">
      <c r="A40" s="18" t="s">
        <v>144</v>
      </c>
      <c r="B40" s="18" t="s">
        <v>140</v>
      </c>
      <c r="C40" s="18" t="s">
        <v>116</v>
      </c>
      <c r="D40" s="18" t="s">
        <v>141</v>
      </c>
      <c r="E40" s="18" t="s">
        <v>128</v>
      </c>
      <c r="F40" s="18" t="s">
        <v>129</v>
      </c>
      <c r="G40" s="18" t="s">
        <v>130</v>
      </c>
      <c r="H40" s="18" t="s">
        <v>142</v>
      </c>
    </row>
    <row r="41" customFormat="false" ht="15" hidden="false" customHeight="false" outlineLevel="0" collapsed="false">
      <c r="A41" s="5" t="s">
        <v>38</v>
      </c>
      <c r="B41" s="19" t="n">
        <f aca="false">COUNTIF(RTM!$G$5:$G$202,"All")</f>
        <v>180</v>
      </c>
      <c r="C41" s="19" t="n">
        <f aca="false">COUNTIFS(RTM!$G$5:$G$202,"All",RTM!$AD$5:$AD$202,"Y")</f>
        <v>180</v>
      </c>
      <c r="D41" s="19" t="n">
        <f aca="false">COUNTIFS(RTM!$G$5:$G$202,"All",RTM!$AD$5:$AD$202,"Y",RTM!$AE$5:$AE$202,"Y")</f>
        <v>86</v>
      </c>
      <c r="E41" s="19" t="n">
        <f aca="false">COUNTIFS(RTM!$G$5:$G$202,"All",RTM!$AD$5:$AD$202,"Y",RTM!$AJ$5:$AJ$202,"Accepted")</f>
        <v>0</v>
      </c>
      <c r="F41" s="19" t="n">
        <f aca="false">COUNTIFS(RTM!$G$5:$G$202,"All",RTM!$AD$5:$AD$202,"Y",RTM!$AJ$5:$AJ$202,"Gap")</f>
        <v>0</v>
      </c>
      <c r="G41" s="19" t="n">
        <f aca="false">COUNTIFS(RTM!$G$5:$G$202,"All",RTM!$AD$5:$AD$202,"Y",RTM!$AJ$5:$AJ$202,"Risk Accepted")</f>
        <v>0</v>
      </c>
      <c r="H41" s="20" t="n">
        <f aca="false">IFERROR((C41-COUNTIFS(RTM!$G$5:$G$202,"All",RTM!$AD$5:$AD$202,"Y",RTM!$AJ$5:$AJ$202,"Pending"))/C41,0)</f>
        <v>0</v>
      </c>
    </row>
    <row r="42" customFormat="false" ht="15" hidden="false" customHeight="false" outlineLevel="0" collapsed="false">
      <c r="A42" s="5" t="s">
        <v>40</v>
      </c>
      <c r="B42" s="19" t="n">
        <f aca="false">COUNTIF(RTM!$G$5:$G$202,"Cloud")</f>
        <v>8</v>
      </c>
      <c r="C42" s="19" t="n">
        <f aca="false">COUNTIFS(RTM!$G$5:$G$202,"Cloud",RTM!$AD$5:$AD$202,"Y")</f>
        <v>8</v>
      </c>
      <c r="D42" s="19" t="n">
        <f aca="false">COUNTIFS(RTM!$G$5:$G$202,"Cloud",RTM!$AD$5:$AD$202,"Y",RTM!$AE$5:$AE$202,"Y")</f>
        <v>6</v>
      </c>
      <c r="E42" s="19" t="n">
        <f aca="false">COUNTIFS(RTM!$G$5:$G$202,"Cloud",RTM!$AD$5:$AD$202,"Y",RTM!$AJ$5:$AJ$202,"Accepted")</f>
        <v>0</v>
      </c>
      <c r="F42" s="19" t="n">
        <f aca="false">COUNTIFS(RTM!$G$5:$G$202,"Cloud",RTM!$AD$5:$AD$202,"Y",RTM!$AJ$5:$AJ$202,"Gap")</f>
        <v>0</v>
      </c>
      <c r="G42" s="19" t="n">
        <f aca="false">COUNTIFS(RTM!$G$5:$G$202,"Cloud",RTM!$AD$5:$AD$202,"Y",RTM!$AJ$5:$AJ$202,"Risk Accepted")</f>
        <v>0</v>
      </c>
      <c r="H42" s="20" t="n">
        <f aca="false">IFERROR((C42-COUNTIFS(RTM!$G$5:$G$202,"Cloud",RTM!$AD$5:$AD$202,"Y",RTM!$AJ$5:$AJ$202,"Pending"))/C42,0)</f>
        <v>0</v>
      </c>
    </row>
    <row r="43" customFormat="false" ht="15" hidden="false" customHeight="false" outlineLevel="0" collapsed="false">
      <c r="A43" s="5" t="s">
        <v>42</v>
      </c>
      <c r="B43" s="19" t="n">
        <f aca="false">COUNTIF(RTM!$G$5:$G$202,"PaaS/IaaS/Self-hosted")</f>
        <v>10</v>
      </c>
      <c r="C43" s="19" t="n">
        <f aca="false">COUNTIFS(RTM!$G$5:$G$202,"PaaS/IaaS/Self-hosted",RTM!$AD$5:$AD$202,"Y")</f>
        <v>10</v>
      </c>
      <c r="D43" s="19" t="n">
        <f aca="false">COUNTIFS(RTM!$G$5:$G$202,"PaaS/IaaS/Self-hosted",RTM!$AD$5:$AD$202,"Y",RTM!$AE$5:$AE$202,"Y")</f>
        <v>0</v>
      </c>
      <c r="E43" s="19" t="n">
        <f aca="false">COUNTIFS(RTM!$G$5:$G$202,"PaaS/IaaS/Self-hosted",RTM!$AD$5:$AD$202,"Y",RTM!$AJ$5:$AJ$202,"Accepted")</f>
        <v>0</v>
      </c>
      <c r="F43" s="19" t="n">
        <f aca="false">COUNTIFS(RTM!$G$5:$G$202,"PaaS/IaaS/Self-hosted",RTM!$AD$5:$AD$202,"Y",RTM!$AJ$5:$AJ$202,"Gap")</f>
        <v>0</v>
      </c>
      <c r="G43" s="19" t="n">
        <f aca="false">COUNTIFS(RTM!$G$5:$G$202,"PaaS/IaaS/Self-hosted",RTM!$AD$5:$AD$202,"Y",RTM!$AJ$5:$AJ$202,"Risk Accepted")</f>
        <v>0</v>
      </c>
      <c r="H43" s="20" t="n">
        <f aca="false">IFERROR((C43-COUNTIFS(RTM!$G$5:$G$202,"PaaS/IaaS/Self-hosted",RTM!$AD$5:$AD$202,"Y",RTM!$AJ$5:$AJ$202,"Pending"))/C43,0)</f>
        <v>0</v>
      </c>
    </row>
    <row r="45" customFormat="false" ht="15" hidden="false" customHeight="false" outlineLevel="0" collapsed="false">
      <c r="A45" s="17" t="s">
        <v>145</v>
      </c>
      <c r="B45" s="16"/>
      <c r="C45" s="16"/>
      <c r="D45" s="16"/>
      <c r="E45" s="16"/>
      <c r="F45" s="16"/>
      <c r="G45" s="16"/>
      <c r="H45" s="16"/>
    </row>
    <row r="46" customFormat="false" ht="23.85" hidden="false" customHeight="false" outlineLevel="0" collapsed="false">
      <c r="A46" s="18" t="s">
        <v>146</v>
      </c>
      <c r="B46" s="18" t="s">
        <v>140</v>
      </c>
      <c r="C46" s="18" t="s">
        <v>116</v>
      </c>
      <c r="D46" s="18" t="s">
        <v>141</v>
      </c>
      <c r="E46" s="18" t="s">
        <v>128</v>
      </c>
      <c r="F46" s="18" t="s">
        <v>129</v>
      </c>
      <c r="G46" s="18" t="s">
        <v>130</v>
      </c>
      <c r="H46" s="18" t="s">
        <v>142</v>
      </c>
    </row>
    <row r="47" customFormat="false" ht="15" hidden="false" customHeight="false" outlineLevel="0" collapsed="false">
      <c r="A47" s="5" t="s">
        <v>147</v>
      </c>
      <c r="B47" s="19" t="n">
        <f aca="false">COUNTIF(RTM!$D$5:$D$202,"Agents and Tools")</f>
        <v>28</v>
      </c>
      <c r="C47" s="19" t="n">
        <f aca="false">COUNTIFS(RTM!$D$5:$D$202,"Agents and Tools",RTM!$AD$5:$AD$202,"Y")</f>
        <v>28</v>
      </c>
      <c r="D47" s="19" t="n">
        <f aca="false">COUNTIFS(RTM!$D$5:$D$202,"Agents and Tools",RTM!$AD$5:$AD$202,"Y",RTM!$AE$5:$AE$202,"Y")</f>
        <v>22</v>
      </c>
      <c r="E47" s="19" t="n">
        <f aca="false">COUNTIFS(RTM!$D$5:$D$202,"Agents and Tools",RTM!$AD$5:$AD$202,"Y",RTM!$AJ$5:$AJ$202,"Accepted")</f>
        <v>0</v>
      </c>
      <c r="F47" s="19" t="n">
        <f aca="false">COUNTIFS(RTM!$D$5:$D$202,"Agents and Tools",RTM!$AD$5:$AD$202,"Y",RTM!$AJ$5:$AJ$202,"Gap")</f>
        <v>0</v>
      </c>
      <c r="G47" s="19" t="n">
        <f aca="false">COUNTIFS(RTM!$D$5:$D$202,"Agents and Tools",RTM!$AD$5:$AD$202,"Y",RTM!$AJ$5:$AJ$202,"Risk Accepted")</f>
        <v>0</v>
      </c>
      <c r="H47" s="20" t="n">
        <f aca="false">IFERROR((C47-COUNTIFS(RTM!$D$5:$D$202,"Agents and Tools",RTM!$AD$5:$AD$202,"Y",RTM!$AJ$5:$AJ$202,"Pending"))/C47,0)</f>
        <v>0</v>
      </c>
    </row>
    <row r="48" customFormat="false" ht="15" hidden="false" customHeight="false" outlineLevel="0" collapsed="false">
      <c r="A48" s="5" t="s">
        <v>148</v>
      </c>
      <c r="B48" s="19" t="n">
        <f aca="false">COUNTIF(RTM!$D$5:$D$202,"Application Runtime")</f>
        <v>15</v>
      </c>
      <c r="C48" s="19" t="n">
        <f aca="false">COUNTIFS(RTM!$D$5:$D$202,"Application Runtime",RTM!$AD$5:$AD$202,"Y")</f>
        <v>15</v>
      </c>
      <c r="D48" s="19" t="n">
        <f aca="false">COUNTIFS(RTM!$D$5:$D$202,"Application Runtime",RTM!$AD$5:$AD$202,"Y",RTM!$AE$5:$AE$202,"Y")</f>
        <v>8</v>
      </c>
      <c r="E48" s="19" t="n">
        <f aca="false">COUNTIFS(RTM!$D$5:$D$202,"Application Runtime",RTM!$AD$5:$AD$202,"Y",RTM!$AJ$5:$AJ$202,"Accepted")</f>
        <v>0</v>
      </c>
      <c r="F48" s="19" t="n">
        <f aca="false">COUNTIFS(RTM!$D$5:$D$202,"Application Runtime",RTM!$AD$5:$AD$202,"Y",RTM!$AJ$5:$AJ$202,"Gap")</f>
        <v>0</v>
      </c>
      <c r="G48" s="19" t="n">
        <f aca="false">COUNTIFS(RTM!$D$5:$D$202,"Application Runtime",RTM!$AD$5:$AD$202,"Y",RTM!$AJ$5:$AJ$202,"Risk Accepted")</f>
        <v>0</v>
      </c>
      <c r="H48" s="20" t="n">
        <f aca="false">IFERROR((C48-COUNTIFS(RTM!$D$5:$D$202,"Application Runtime",RTM!$AD$5:$AD$202,"Y",RTM!$AJ$5:$AJ$202,"Pending"))/C48,0)</f>
        <v>0</v>
      </c>
    </row>
    <row r="49" customFormat="false" ht="15" hidden="false" customHeight="false" outlineLevel="0" collapsed="false">
      <c r="A49" s="5" t="s">
        <v>149</v>
      </c>
      <c r="B49" s="19" t="n">
        <f aca="false">COUNTIF(RTM!$D$5:$D$202,"Assurance and Testing")</f>
        <v>25</v>
      </c>
      <c r="C49" s="19" t="n">
        <f aca="false">COUNTIFS(RTM!$D$5:$D$202,"Assurance and Testing",RTM!$AD$5:$AD$202,"Y")</f>
        <v>25</v>
      </c>
      <c r="D49" s="19" t="n">
        <f aca="false">COUNTIFS(RTM!$D$5:$D$202,"Assurance and Testing",RTM!$AD$5:$AD$202,"Y",RTM!$AE$5:$AE$202,"Y")</f>
        <v>5</v>
      </c>
      <c r="E49" s="19" t="n">
        <f aca="false">COUNTIFS(RTM!$D$5:$D$202,"Assurance and Testing",RTM!$AD$5:$AD$202,"Y",RTM!$AJ$5:$AJ$202,"Accepted")</f>
        <v>0</v>
      </c>
      <c r="F49" s="19" t="n">
        <f aca="false">COUNTIFS(RTM!$D$5:$D$202,"Assurance and Testing",RTM!$AD$5:$AD$202,"Y",RTM!$AJ$5:$AJ$202,"Gap")</f>
        <v>0</v>
      </c>
      <c r="G49" s="19" t="n">
        <f aca="false">COUNTIFS(RTM!$D$5:$D$202,"Assurance and Testing",RTM!$AD$5:$AD$202,"Y",RTM!$AJ$5:$AJ$202,"Risk Accepted")</f>
        <v>0</v>
      </c>
      <c r="H49" s="20" t="n">
        <f aca="false">IFERROR((C49-COUNTIFS(RTM!$D$5:$D$202,"Assurance and Testing",RTM!$AD$5:$AD$202,"Y",RTM!$AJ$5:$AJ$202,"Pending"))/C49,0)</f>
        <v>0</v>
      </c>
    </row>
    <row r="50" customFormat="false" ht="15" hidden="false" customHeight="false" outlineLevel="0" collapsed="false">
      <c r="A50" s="5" t="s">
        <v>150</v>
      </c>
      <c r="B50" s="19" t="n">
        <f aca="false">COUNTIF(RTM!$D$5:$D$202,"Cost and Abuse")</f>
        <v>3</v>
      </c>
      <c r="C50" s="19" t="n">
        <f aca="false">COUNTIFS(RTM!$D$5:$D$202,"Cost and Abuse",RTM!$AD$5:$AD$202,"Y")</f>
        <v>3</v>
      </c>
      <c r="D50" s="19" t="n">
        <f aca="false">COUNTIFS(RTM!$D$5:$D$202,"Cost and Abuse",RTM!$AD$5:$AD$202,"Y",RTM!$AE$5:$AE$202,"Y")</f>
        <v>3</v>
      </c>
      <c r="E50" s="19" t="n">
        <f aca="false">COUNTIFS(RTM!$D$5:$D$202,"Cost and Abuse",RTM!$AD$5:$AD$202,"Y",RTM!$AJ$5:$AJ$202,"Accepted")</f>
        <v>0</v>
      </c>
      <c r="F50" s="19" t="n">
        <f aca="false">COUNTIFS(RTM!$D$5:$D$202,"Cost and Abuse",RTM!$AD$5:$AD$202,"Y",RTM!$AJ$5:$AJ$202,"Gap")</f>
        <v>0</v>
      </c>
      <c r="G50" s="19" t="n">
        <f aca="false">COUNTIFS(RTM!$D$5:$D$202,"Cost and Abuse",RTM!$AD$5:$AD$202,"Y",RTM!$AJ$5:$AJ$202,"Risk Accepted")</f>
        <v>0</v>
      </c>
      <c r="H50" s="20" t="n">
        <f aca="false">IFERROR((C50-COUNTIFS(RTM!$D$5:$D$202,"Cost and Abuse",RTM!$AD$5:$AD$202,"Y",RTM!$AJ$5:$AJ$202,"Pending"))/C50,0)</f>
        <v>0</v>
      </c>
    </row>
    <row r="51" customFormat="false" ht="15" hidden="false" customHeight="false" outlineLevel="0" collapsed="false">
      <c r="A51" s="5" t="s">
        <v>151</v>
      </c>
      <c r="B51" s="19" t="n">
        <f aca="false">COUNTIF(RTM!$D$5:$D$202,"Data and Retrieval")</f>
        <v>15</v>
      </c>
      <c r="C51" s="19" t="n">
        <f aca="false">COUNTIFS(RTM!$D$5:$D$202,"Data and Retrieval",RTM!$AD$5:$AD$202,"Y")</f>
        <v>15</v>
      </c>
      <c r="D51" s="19" t="n">
        <f aca="false">COUNTIFS(RTM!$D$5:$D$202,"Data and Retrieval",RTM!$AD$5:$AD$202,"Y",RTM!$AE$5:$AE$202,"Y")</f>
        <v>10</v>
      </c>
      <c r="E51" s="19" t="n">
        <f aca="false">COUNTIFS(RTM!$D$5:$D$202,"Data and Retrieval",RTM!$AD$5:$AD$202,"Y",RTM!$AJ$5:$AJ$202,"Accepted")</f>
        <v>0</v>
      </c>
      <c r="F51" s="19" t="n">
        <f aca="false">COUNTIFS(RTM!$D$5:$D$202,"Data and Retrieval",RTM!$AD$5:$AD$202,"Y",RTM!$AJ$5:$AJ$202,"Gap")</f>
        <v>0</v>
      </c>
      <c r="G51" s="19" t="n">
        <f aca="false">COUNTIFS(RTM!$D$5:$D$202,"Data and Retrieval",RTM!$AD$5:$AD$202,"Y",RTM!$AJ$5:$AJ$202,"Risk Accepted")</f>
        <v>0</v>
      </c>
      <c r="H51" s="20" t="n">
        <f aca="false">IFERROR((C51-COUNTIFS(RTM!$D$5:$D$202,"Data and Retrieval",RTM!$AD$5:$AD$202,"Y",RTM!$AJ$5:$AJ$202,"Pending"))/C51,0)</f>
        <v>0</v>
      </c>
    </row>
    <row r="52" customFormat="false" ht="15" hidden="false" customHeight="false" outlineLevel="0" collapsed="false">
      <c r="A52" s="5" t="s">
        <v>152</v>
      </c>
      <c r="B52" s="19" t="n">
        <f aca="false">COUNTIF(RTM!$D$5:$D$202,"Detection and Response")</f>
        <v>9</v>
      </c>
      <c r="C52" s="19" t="n">
        <f aca="false">COUNTIFS(RTM!$D$5:$D$202,"Detection and Response",RTM!$AD$5:$AD$202,"Y")</f>
        <v>9</v>
      </c>
      <c r="D52" s="19" t="n">
        <f aca="false">COUNTIFS(RTM!$D$5:$D$202,"Detection and Response",RTM!$AD$5:$AD$202,"Y",RTM!$AE$5:$AE$202,"Y")</f>
        <v>7</v>
      </c>
      <c r="E52" s="19" t="n">
        <f aca="false">COUNTIFS(RTM!$D$5:$D$202,"Detection and Response",RTM!$AD$5:$AD$202,"Y",RTM!$AJ$5:$AJ$202,"Accepted")</f>
        <v>0</v>
      </c>
      <c r="F52" s="19" t="n">
        <f aca="false">COUNTIFS(RTM!$D$5:$D$202,"Detection and Response",RTM!$AD$5:$AD$202,"Y",RTM!$AJ$5:$AJ$202,"Gap")</f>
        <v>0</v>
      </c>
      <c r="G52" s="19" t="n">
        <f aca="false">COUNTIFS(RTM!$D$5:$D$202,"Detection and Response",RTM!$AD$5:$AD$202,"Y",RTM!$AJ$5:$AJ$202,"Risk Accepted")</f>
        <v>0</v>
      </c>
      <c r="H52" s="20" t="n">
        <f aca="false">IFERROR((C52-COUNTIFS(RTM!$D$5:$D$202,"Detection and Response",RTM!$AD$5:$AD$202,"Y",RTM!$AJ$5:$AJ$202,"Pending"))/C52,0)</f>
        <v>0</v>
      </c>
    </row>
    <row r="53" customFormat="false" ht="15" hidden="false" customHeight="false" outlineLevel="0" collapsed="false">
      <c r="A53" s="5" t="s">
        <v>153</v>
      </c>
      <c r="B53" s="19" t="n">
        <f aca="false">COUNTIF(RTM!$D$5:$D$202,"Discovery and Workforce AI Use")</f>
        <v>12</v>
      </c>
      <c r="C53" s="19" t="n">
        <f aca="false">COUNTIFS(RTM!$D$5:$D$202,"Discovery and Workforce AI Use",RTM!$AD$5:$AD$202,"Y")</f>
        <v>12</v>
      </c>
      <c r="D53" s="19" t="n">
        <f aca="false">COUNTIFS(RTM!$D$5:$D$202,"Discovery and Workforce AI Use",RTM!$AD$5:$AD$202,"Y",RTM!$AE$5:$AE$202,"Y")</f>
        <v>6</v>
      </c>
      <c r="E53" s="19" t="n">
        <f aca="false">COUNTIFS(RTM!$D$5:$D$202,"Discovery and Workforce AI Use",RTM!$AD$5:$AD$202,"Y",RTM!$AJ$5:$AJ$202,"Accepted")</f>
        <v>0</v>
      </c>
      <c r="F53" s="19" t="n">
        <f aca="false">COUNTIFS(RTM!$D$5:$D$202,"Discovery and Workforce AI Use",RTM!$AD$5:$AD$202,"Y",RTM!$AJ$5:$AJ$202,"Gap")</f>
        <v>0</v>
      </c>
      <c r="G53" s="19" t="n">
        <f aca="false">COUNTIFS(RTM!$D$5:$D$202,"Discovery and Workforce AI Use",RTM!$AD$5:$AD$202,"Y",RTM!$AJ$5:$AJ$202,"Risk Accepted")</f>
        <v>0</v>
      </c>
      <c r="H53" s="20" t="n">
        <f aca="false">IFERROR((C53-COUNTIFS(RTM!$D$5:$D$202,"Discovery and Workforce AI Use",RTM!$AD$5:$AD$202,"Y",RTM!$AJ$5:$AJ$202,"Pending"))/C53,0)</f>
        <v>0</v>
      </c>
    </row>
    <row r="54" customFormat="false" ht="15" hidden="false" customHeight="false" outlineLevel="0" collapsed="false">
      <c r="A54" s="5" t="s">
        <v>154</v>
      </c>
      <c r="B54" s="19" t="n">
        <f aca="false">COUNTIF(RTM!$D$5:$D$202,"Governance and Compliance")</f>
        <v>53</v>
      </c>
      <c r="C54" s="19" t="n">
        <f aca="false">COUNTIFS(RTM!$D$5:$D$202,"Governance and Compliance",RTM!$AD$5:$AD$202,"Y")</f>
        <v>53</v>
      </c>
      <c r="D54" s="19" t="n">
        <f aca="false">COUNTIFS(RTM!$D$5:$D$202,"Governance and Compliance",RTM!$AD$5:$AD$202,"Y",RTM!$AE$5:$AE$202,"Y")</f>
        <v>19</v>
      </c>
      <c r="E54" s="19" t="n">
        <f aca="false">COUNTIFS(RTM!$D$5:$D$202,"Governance and Compliance",RTM!$AD$5:$AD$202,"Y",RTM!$AJ$5:$AJ$202,"Accepted")</f>
        <v>0</v>
      </c>
      <c r="F54" s="19" t="n">
        <f aca="false">COUNTIFS(RTM!$D$5:$D$202,"Governance and Compliance",RTM!$AD$5:$AD$202,"Y",RTM!$AJ$5:$AJ$202,"Gap")</f>
        <v>0</v>
      </c>
      <c r="G54" s="19" t="n">
        <f aca="false">COUNTIFS(RTM!$D$5:$D$202,"Governance and Compliance",RTM!$AD$5:$AD$202,"Y",RTM!$AJ$5:$AJ$202,"Risk Accepted")</f>
        <v>0</v>
      </c>
      <c r="H54" s="20" t="n">
        <f aca="false">IFERROR((C54-COUNTIFS(RTM!$D$5:$D$202,"Governance and Compliance",RTM!$AD$5:$AD$202,"Y",RTM!$AJ$5:$AJ$202,"Pending"))/C54,0)</f>
        <v>0</v>
      </c>
    </row>
    <row r="55" customFormat="false" ht="15" hidden="false" customHeight="false" outlineLevel="0" collapsed="false">
      <c r="A55" s="5" t="s">
        <v>155</v>
      </c>
      <c r="B55" s="19" t="n">
        <f aca="false">COUNTIF(RTM!$D$5:$D$202,"Identity and Access")</f>
        <v>12</v>
      </c>
      <c r="C55" s="19" t="n">
        <f aca="false">COUNTIFS(RTM!$D$5:$D$202,"Identity and Access",RTM!$AD$5:$AD$202,"Y")</f>
        <v>12</v>
      </c>
      <c r="D55" s="19" t="n">
        <f aca="false">COUNTIFS(RTM!$D$5:$D$202,"Identity and Access",RTM!$AD$5:$AD$202,"Y",RTM!$AE$5:$AE$202,"Y")</f>
        <v>12</v>
      </c>
      <c r="E55" s="19" t="n">
        <f aca="false">COUNTIFS(RTM!$D$5:$D$202,"Identity and Access",RTM!$AD$5:$AD$202,"Y",RTM!$AJ$5:$AJ$202,"Accepted")</f>
        <v>0</v>
      </c>
      <c r="F55" s="19" t="n">
        <f aca="false">COUNTIFS(RTM!$D$5:$D$202,"Identity and Access",RTM!$AD$5:$AD$202,"Y",RTM!$AJ$5:$AJ$202,"Gap")</f>
        <v>0</v>
      </c>
      <c r="G55" s="19" t="n">
        <f aca="false">COUNTIFS(RTM!$D$5:$D$202,"Identity and Access",RTM!$AD$5:$AD$202,"Y",RTM!$AJ$5:$AJ$202,"Risk Accepted")</f>
        <v>0</v>
      </c>
      <c r="H55" s="20" t="n">
        <f aca="false">IFERROR((C55-COUNTIFS(RTM!$D$5:$D$202,"Identity and Access",RTM!$AD$5:$AD$202,"Y",RTM!$AJ$5:$AJ$202,"Pending"))/C55,0)</f>
        <v>0</v>
      </c>
    </row>
    <row r="56" customFormat="false" ht="15" hidden="false" customHeight="false" outlineLevel="0" collapsed="false">
      <c r="A56" s="5" t="s">
        <v>156</v>
      </c>
      <c r="B56" s="19" t="n">
        <f aca="false">COUNTIF(RTM!$D$5:$D$202,"Model, Training and Pipeline")</f>
        <v>11</v>
      </c>
      <c r="C56" s="19" t="n">
        <f aca="false">COUNTIFS(RTM!$D$5:$D$202,"Model, Training and Pipeline",RTM!$AD$5:$AD$202,"Y")</f>
        <v>11</v>
      </c>
      <c r="D56" s="19" t="n">
        <f aca="false">COUNTIFS(RTM!$D$5:$D$202,"Model, Training and Pipeline",RTM!$AD$5:$AD$202,"Y",RTM!$AE$5:$AE$202,"Y")</f>
        <v>0</v>
      </c>
      <c r="E56" s="19" t="n">
        <f aca="false">COUNTIFS(RTM!$D$5:$D$202,"Model, Training and Pipeline",RTM!$AD$5:$AD$202,"Y",RTM!$AJ$5:$AJ$202,"Accepted")</f>
        <v>0</v>
      </c>
      <c r="F56" s="19" t="n">
        <f aca="false">COUNTIFS(RTM!$D$5:$D$202,"Model, Training and Pipeline",RTM!$AD$5:$AD$202,"Y",RTM!$AJ$5:$AJ$202,"Gap")</f>
        <v>0</v>
      </c>
      <c r="G56" s="19" t="n">
        <f aca="false">COUNTIFS(RTM!$D$5:$D$202,"Model, Training and Pipeline",RTM!$AD$5:$AD$202,"Y",RTM!$AJ$5:$AJ$202,"Risk Accepted")</f>
        <v>0</v>
      </c>
      <c r="H56" s="20" t="n">
        <f aca="false">IFERROR((C56-COUNTIFS(RTM!$D$5:$D$202,"Model, Training and Pipeline",RTM!$AD$5:$AD$202,"Y",RTM!$AJ$5:$AJ$202,"Pending"))/C56,0)</f>
        <v>0</v>
      </c>
    </row>
    <row r="57" customFormat="false" ht="15" hidden="false" customHeight="false" outlineLevel="0" collapsed="false">
      <c r="A57" s="5" t="s">
        <v>157</v>
      </c>
      <c r="B57" s="19" t="n">
        <f aca="false">COUNTIF(RTM!$D$5:$D$202,"Supply Chain, Infrastructure and Resilience")</f>
        <v>15</v>
      </c>
      <c r="C57" s="19" t="n">
        <f aca="false">COUNTIFS(RTM!$D$5:$D$202,"Supply Chain, Infrastructure and Resilience",RTM!$AD$5:$AD$202,"Y")</f>
        <v>15</v>
      </c>
      <c r="D57" s="19" t="n">
        <f aca="false">COUNTIFS(RTM!$D$5:$D$202,"Supply Chain, Infrastructure and Resilience",RTM!$AD$5:$AD$202,"Y",RTM!$AE$5:$AE$202,"Y")</f>
        <v>0</v>
      </c>
      <c r="E57" s="19" t="n">
        <f aca="false">COUNTIFS(RTM!$D$5:$D$202,"Supply Chain, Infrastructure and Resilience",RTM!$AD$5:$AD$202,"Y",RTM!$AJ$5:$AJ$202,"Accepted")</f>
        <v>0</v>
      </c>
      <c r="F57" s="19" t="n">
        <f aca="false">COUNTIFS(RTM!$D$5:$D$202,"Supply Chain, Infrastructure and Resilience",RTM!$AD$5:$AD$202,"Y",RTM!$AJ$5:$AJ$202,"Gap")</f>
        <v>0</v>
      </c>
      <c r="G57" s="19" t="n">
        <f aca="false">COUNTIFS(RTM!$D$5:$D$202,"Supply Chain, Infrastructure and Resilience",RTM!$AD$5:$AD$202,"Y",RTM!$AJ$5:$AJ$202,"Risk Accepted")</f>
        <v>0</v>
      </c>
      <c r="H57" s="20" t="n">
        <f aca="false">IFERROR((C57-COUNTIFS(RTM!$D$5:$D$202,"Supply Chain, Infrastructure and Resilience",RTM!$AD$5:$AD$202,"Y",RTM!$AJ$5:$AJ$202,"Pending"))/C57,0)</f>
        <v>0</v>
      </c>
    </row>
    <row r="59" customFormat="false" ht="15" hidden="false" customHeight="false" outlineLevel="0" collapsed="false">
      <c r="A59" s="3" t="s">
        <v>158</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9"/>
    <pageSetUpPr fitToPage="false"/>
  </sheetPr>
  <dimension ref="A1:AN20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1"/>
  <cols>
    <col collapsed="false" customWidth="true" hidden="false" outlineLevel="0" max="1" min="1" style="0" width="15"/>
    <col collapsed="false" customWidth="true" hidden="false" outlineLevel="0" max="2" min="2" style="0" width="12"/>
    <col collapsed="false" customWidth="true" hidden="false" outlineLevel="0" max="3" min="3" style="0" width="24"/>
    <col collapsed="false" customWidth="true" hidden="false" outlineLevel="0" max="4" min="4" style="0" width="20"/>
    <col collapsed="false" customWidth="true" hidden="false" outlineLevel="0" max="5" min="5" style="0" width="10"/>
    <col collapsed="false" customWidth="true" hidden="false" outlineLevel="0" max="7" min="6" style="0" width="14"/>
    <col collapsed="false" customWidth="true" hidden="false" outlineLevel="0" max="8" min="8" style="0" width="60"/>
    <col collapsed="false" customWidth="true" hidden="false" outlineLevel="0" max="9" min="9" style="0" width="40"/>
    <col collapsed="false" customWidth="true" hidden="false" outlineLevel="0" max="10" min="10" style="0" width="44"/>
    <col collapsed="false" customWidth="true" hidden="false" outlineLevel="0" max="11" min="11" style="0" width="20"/>
    <col collapsed="false" customWidth="true" hidden="false" outlineLevel="0" max="12" min="12" style="0" width="9"/>
    <col collapsed="false" customWidth="true" hidden="false" outlineLevel="0" max="13" min="13" style="0" width="18"/>
    <col collapsed="false" customWidth="true" hidden="false" outlineLevel="0" max="16" min="14" style="0" width="24"/>
    <col collapsed="false" customWidth="true" hidden="true" outlineLevel="1" max="29" min="17" style="0" width="14"/>
    <col collapsed="false" customWidth="true" hidden="false" outlineLevel="0" max="30" min="30" style="0" width="9"/>
    <col collapsed="false" customWidth="true" hidden="false" outlineLevel="0" max="32" min="31" style="0" width="11"/>
    <col collapsed="false" customWidth="true" hidden="false" outlineLevel="0" max="33" min="33" style="0" width="40"/>
    <col collapsed="false" customWidth="true" hidden="false" outlineLevel="0" max="34" min="34" style="0" width="18"/>
    <col collapsed="false" customWidth="true" hidden="false" outlineLevel="0" max="35" min="35" style="0" width="26"/>
    <col collapsed="false" customWidth="true" hidden="false" outlineLevel="0" max="36" min="36" style="0" width="13"/>
    <col collapsed="false" customWidth="true" hidden="false" outlineLevel="0" max="37" min="37" style="0" width="36"/>
    <col collapsed="false" customWidth="true" hidden="false" outlineLevel="0" max="38" min="38" style="0" width="16"/>
    <col collapsed="false" customWidth="true" hidden="false" outlineLevel="0" max="39" min="39" style="0" width="12"/>
    <col collapsed="false" customWidth="true" hidden="false" outlineLevel="0" max="40" min="40" style="0" width="26"/>
  </cols>
  <sheetData>
    <row r="1" customFormat="false" ht="30" hidden="false" customHeight="true" outlineLevel="0" collapsed="false">
      <c r="A1" s="21" t="s">
        <v>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row>
    <row r="2" customFormat="false" ht="15" hidden="false" customHeight="false" outlineLevel="0" collapsed="false">
      <c r="A2" s="3" t="s">
        <v>159</v>
      </c>
    </row>
    <row r="4" customFormat="false" ht="45" hidden="false" customHeight="true" outlineLevel="0" collapsed="false">
      <c r="A4" s="23" t="s">
        <v>160</v>
      </c>
      <c r="B4" s="23" t="s">
        <v>161</v>
      </c>
      <c r="C4" s="23" t="s">
        <v>162</v>
      </c>
      <c r="D4" s="23" t="s">
        <v>146</v>
      </c>
      <c r="E4" s="23" t="s">
        <v>163</v>
      </c>
      <c r="F4" s="23" t="s">
        <v>139</v>
      </c>
      <c r="G4" s="23" t="s">
        <v>144</v>
      </c>
      <c r="H4" s="23" t="s">
        <v>164</v>
      </c>
      <c r="I4" s="23" t="s">
        <v>165</v>
      </c>
      <c r="J4" s="23" t="s">
        <v>166</v>
      </c>
      <c r="K4" s="23" t="s">
        <v>167</v>
      </c>
      <c r="L4" s="23" t="s">
        <v>168</v>
      </c>
      <c r="M4" s="23" t="s">
        <v>169</v>
      </c>
      <c r="N4" s="23" t="s">
        <v>170</v>
      </c>
      <c r="O4" s="23" t="s">
        <v>171</v>
      </c>
      <c r="P4" s="23" t="s">
        <v>172</v>
      </c>
      <c r="Q4" s="24" t="s">
        <v>173</v>
      </c>
      <c r="R4" s="24" t="s">
        <v>174</v>
      </c>
      <c r="S4" s="24" t="s">
        <v>175</v>
      </c>
      <c r="T4" s="24" t="s">
        <v>176</v>
      </c>
      <c r="U4" s="24" t="s">
        <v>177</v>
      </c>
      <c r="V4" s="24" t="s">
        <v>178</v>
      </c>
      <c r="W4" s="24" t="s">
        <v>179</v>
      </c>
      <c r="X4" s="24" t="s">
        <v>180</v>
      </c>
      <c r="Y4" s="24" t="s">
        <v>181</v>
      </c>
      <c r="Z4" s="24" t="s">
        <v>182</v>
      </c>
      <c r="AA4" s="24" t="s">
        <v>183</v>
      </c>
      <c r="AB4" s="24" t="s">
        <v>184</v>
      </c>
      <c r="AC4" s="24" t="s">
        <v>185</v>
      </c>
      <c r="AD4" s="25" t="s">
        <v>186</v>
      </c>
      <c r="AE4" s="25" t="s">
        <v>141</v>
      </c>
      <c r="AF4" s="26" t="s">
        <v>133</v>
      </c>
      <c r="AG4" s="26" t="s">
        <v>187</v>
      </c>
      <c r="AH4" s="26" t="s">
        <v>188</v>
      </c>
      <c r="AI4" s="26" t="s">
        <v>189</v>
      </c>
      <c r="AJ4" s="25" t="s">
        <v>125</v>
      </c>
      <c r="AK4" s="25" t="s">
        <v>190</v>
      </c>
      <c r="AL4" s="25" t="s">
        <v>191</v>
      </c>
      <c r="AM4" s="25" t="s">
        <v>192</v>
      </c>
      <c r="AN4" s="27" t="s">
        <v>193</v>
      </c>
    </row>
    <row r="5" customFormat="false" ht="68.65" hidden="false" customHeight="false" outlineLevel="0" collapsed="false">
      <c r="A5" s="28" t="s">
        <v>194</v>
      </c>
      <c r="B5" s="6" t="s">
        <v>195</v>
      </c>
      <c r="C5" s="6" t="s">
        <v>196</v>
      </c>
      <c r="D5" s="6" t="s">
        <v>153</v>
      </c>
      <c r="E5" s="29" t="s">
        <v>197</v>
      </c>
      <c r="F5" s="29" t="s">
        <v>27</v>
      </c>
      <c r="G5" s="29" t="s">
        <v>38</v>
      </c>
      <c r="H5" s="6" t="s">
        <v>198</v>
      </c>
      <c r="I5" s="6" t="s">
        <v>199</v>
      </c>
      <c r="J5" s="6" t="s">
        <v>200</v>
      </c>
      <c r="K5" s="6" t="s">
        <v>201</v>
      </c>
      <c r="L5" s="29" t="n">
        <v>33</v>
      </c>
      <c r="M5" s="6" t="s">
        <v>202</v>
      </c>
      <c r="N5" s="6" t="s">
        <v>203</v>
      </c>
      <c r="O5" s="6" t="s">
        <v>204</v>
      </c>
      <c r="P5" s="6" t="s">
        <v>205</v>
      </c>
      <c r="Q5" s="6"/>
      <c r="R5" s="6"/>
      <c r="S5" s="6"/>
      <c r="T5" s="6"/>
      <c r="U5" s="6"/>
      <c r="V5" s="6" t="s">
        <v>206</v>
      </c>
      <c r="W5" s="6"/>
      <c r="X5" s="6"/>
      <c r="Y5" s="6"/>
      <c r="Z5" s="6"/>
      <c r="AA5" s="6"/>
      <c r="AB5" s="6"/>
      <c r="AC5" s="6" t="s">
        <v>207</v>
      </c>
      <c r="AD5" s="30" t="s">
        <v>208</v>
      </c>
      <c r="AE5" s="30" t="s">
        <v>208</v>
      </c>
      <c r="AF5" s="31"/>
      <c r="AG5" s="32"/>
      <c r="AH5" s="31"/>
      <c r="AI5" s="32"/>
      <c r="AJ5" s="33" t="s">
        <v>127</v>
      </c>
      <c r="AK5" s="34"/>
      <c r="AL5" s="34"/>
      <c r="AM5" s="35"/>
      <c r="AN5" s="36" t="str">
        <f aca="false">IF(AD5&lt;&gt;"Y","Out of scope",IF(AF5="","Awaiting response",IF(AND(OR(AF5="Yes",AF5="Partial"),AG5=""),"No detail: treat as unanswered",IF(AND(AF5="Yes",AI5=""),"No evidence link",IF(AND(AJ5="Gap",OR(AL5="",AM5="")),"Gap needs owner and due date","OK")))))</f>
        <v>Awaiting response</v>
      </c>
    </row>
    <row r="6" customFormat="false" ht="68.65" hidden="false" customHeight="false" outlineLevel="0" collapsed="false">
      <c r="A6" s="28" t="s">
        <v>209</v>
      </c>
      <c r="B6" s="6" t="s">
        <v>195</v>
      </c>
      <c r="C6" s="6" t="s">
        <v>196</v>
      </c>
      <c r="D6" s="6" t="s">
        <v>153</v>
      </c>
      <c r="E6" s="29" t="s">
        <v>197</v>
      </c>
      <c r="F6" s="29" t="s">
        <v>27</v>
      </c>
      <c r="G6" s="29" t="s">
        <v>38</v>
      </c>
      <c r="H6" s="6" t="s">
        <v>210</v>
      </c>
      <c r="I6" s="6" t="s">
        <v>199</v>
      </c>
      <c r="J6" s="6" t="s">
        <v>200</v>
      </c>
      <c r="K6" s="6" t="s">
        <v>201</v>
      </c>
      <c r="L6" s="29" t="n">
        <v>33</v>
      </c>
      <c r="M6" s="6" t="s">
        <v>202</v>
      </c>
      <c r="N6" s="6" t="s">
        <v>203</v>
      </c>
      <c r="O6" s="6" t="s">
        <v>204</v>
      </c>
      <c r="P6" s="6" t="s">
        <v>205</v>
      </c>
      <c r="Q6" s="6"/>
      <c r="R6" s="6"/>
      <c r="S6" s="6"/>
      <c r="T6" s="6"/>
      <c r="U6" s="6"/>
      <c r="V6" s="6" t="s">
        <v>206</v>
      </c>
      <c r="W6" s="6"/>
      <c r="X6" s="6"/>
      <c r="Y6" s="6"/>
      <c r="Z6" s="6"/>
      <c r="AA6" s="6"/>
      <c r="AB6" s="6"/>
      <c r="AC6" s="6" t="s">
        <v>207</v>
      </c>
      <c r="AD6" s="30" t="s">
        <v>208</v>
      </c>
      <c r="AE6" s="30" t="s">
        <v>208</v>
      </c>
      <c r="AF6" s="31"/>
      <c r="AG6" s="32"/>
      <c r="AH6" s="31"/>
      <c r="AI6" s="32"/>
      <c r="AJ6" s="33" t="s">
        <v>127</v>
      </c>
      <c r="AK6" s="34"/>
      <c r="AL6" s="34"/>
      <c r="AM6" s="35"/>
      <c r="AN6" s="36" t="str">
        <f aca="false">IF(AD6&lt;&gt;"Y","Out of scope",IF(AF6="","Awaiting response",IF(AND(OR(AF6="Yes",AF6="Partial"),AG6=""),"No detail: treat as unanswered",IF(AND(AF6="Yes",AI6=""),"No evidence link",IF(AND(AJ6="Gap",OR(AL6="",AM6="")),"Gap needs owner and due date","OK")))))</f>
        <v>Awaiting response</v>
      </c>
    </row>
    <row r="7" customFormat="false" ht="68.65" hidden="false" customHeight="false" outlineLevel="0" collapsed="false">
      <c r="A7" s="28" t="s">
        <v>211</v>
      </c>
      <c r="B7" s="6" t="s">
        <v>195</v>
      </c>
      <c r="C7" s="6" t="s">
        <v>196</v>
      </c>
      <c r="D7" s="6" t="s">
        <v>153</v>
      </c>
      <c r="E7" s="29" t="s">
        <v>197</v>
      </c>
      <c r="F7" s="29" t="s">
        <v>27</v>
      </c>
      <c r="G7" s="29" t="s">
        <v>38</v>
      </c>
      <c r="H7" s="6" t="s">
        <v>212</v>
      </c>
      <c r="I7" s="6" t="s">
        <v>199</v>
      </c>
      <c r="J7" s="6" t="s">
        <v>200</v>
      </c>
      <c r="K7" s="6" t="s">
        <v>201</v>
      </c>
      <c r="L7" s="29" t="n">
        <v>33</v>
      </c>
      <c r="M7" s="6" t="s">
        <v>202</v>
      </c>
      <c r="N7" s="6" t="s">
        <v>203</v>
      </c>
      <c r="O7" s="6" t="s">
        <v>204</v>
      </c>
      <c r="P7" s="6" t="s">
        <v>205</v>
      </c>
      <c r="Q7" s="6"/>
      <c r="R7" s="6"/>
      <c r="S7" s="6"/>
      <c r="T7" s="6"/>
      <c r="U7" s="6"/>
      <c r="V7" s="6" t="s">
        <v>206</v>
      </c>
      <c r="W7" s="6"/>
      <c r="X7" s="6"/>
      <c r="Y7" s="6"/>
      <c r="Z7" s="6"/>
      <c r="AA7" s="6"/>
      <c r="AB7" s="6"/>
      <c r="AC7" s="6" t="s">
        <v>207</v>
      </c>
      <c r="AD7" s="30" t="s">
        <v>208</v>
      </c>
      <c r="AE7" s="30" t="s">
        <v>208</v>
      </c>
      <c r="AF7" s="31"/>
      <c r="AG7" s="32"/>
      <c r="AH7" s="31"/>
      <c r="AI7" s="32"/>
      <c r="AJ7" s="33" t="s">
        <v>127</v>
      </c>
      <c r="AK7" s="34"/>
      <c r="AL7" s="34"/>
      <c r="AM7" s="35"/>
      <c r="AN7" s="36" t="str">
        <f aca="false">IF(AD7&lt;&gt;"Y","Out of scope",IF(AF7="","Awaiting response",IF(AND(OR(AF7="Yes",AF7="Partial"),AG7=""),"No detail: treat as unanswered",IF(AND(AF7="Yes",AI7=""),"No evidence link",IF(AND(AJ7="Gap",OR(AL7="",AM7="")),"Gap needs owner and due date","OK")))))</f>
        <v>Awaiting response</v>
      </c>
    </row>
    <row r="8" customFormat="false" ht="68.65" hidden="false" customHeight="false" outlineLevel="0" collapsed="false">
      <c r="A8" s="28" t="s">
        <v>213</v>
      </c>
      <c r="B8" s="6" t="s">
        <v>195</v>
      </c>
      <c r="C8" s="6" t="s">
        <v>196</v>
      </c>
      <c r="D8" s="6" t="s">
        <v>153</v>
      </c>
      <c r="E8" s="29" t="s">
        <v>197</v>
      </c>
      <c r="F8" s="29" t="s">
        <v>27</v>
      </c>
      <c r="G8" s="29" t="s">
        <v>38</v>
      </c>
      <c r="H8" s="6" t="s">
        <v>214</v>
      </c>
      <c r="I8" s="6" t="s">
        <v>199</v>
      </c>
      <c r="J8" s="6" t="s">
        <v>200</v>
      </c>
      <c r="K8" s="6" t="s">
        <v>201</v>
      </c>
      <c r="L8" s="29" t="n">
        <v>33</v>
      </c>
      <c r="M8" s="6" t="s">
        <v>202</v>
      </c>
      <c r="N8" s="6" t="s">
        <v>203</v>
      </c>
      <c r="O8" s="6" t="s">
        <v>204</v>
      </c>
      <c r="P8" s="6" t="s">
        <v>205</v>
      </c>
      <c r="Q8" s="6"/>
      <c r="R8" s="6"/>
      <c r="S8" s="6"/>
      <c r="T8" s="6"/>
      <c r="U8" s="6"/>
      <c r="V8" s="6" t="s">
        <v>206</v>
      </c>
      <c r="W8" s="6"/>
      <c r="X8" s="6"/>
      <c r="Y8" s="6"/>
      <c r="Z8" s="6"/>
      <c r="AA8" s="6"/>
      <c r="AB8" s="6"/>
      <c r="AC8" s="6" t="s">
        <v>207</v>
      </c>
      <c r="AD8" s="30" t="s">
        <v>208</v>
      </c>
      <c r="AE8" s="30" t="s">
        <v>208</v>
      </c>
      <c r="AF8" s="31"/>
      <c r="AG8" s="32"/>
      <c r="AH8" s="31"/>
      <c r="AI8" s="32"/>
      <c r="AJ8" s="33" t="s">
        <v>127</v>
      </c>
      <c r="AK8" s="34"/>
      <c r="AL8" s="34"/>
      <c r="AM8" s="35"/>
      <c r="AN8" s="36" t="str">
        <f aca="false">IF(AD8&lt;&gt;"Y","Out of scope",IF(AF8="","Awaiting response",IF(AND(OR(AF8="Yes",AF8="Partial"),AG8=""),"No detail: treat as unanswered",IF(AND(AF8="Yes",AI8=""),"No evidence link",IF(AND(AJ8="Gap",OR(AL8="",AM8="")),"Gap needs owner and due date","OK")))))</f>
        <v>Awaiting response</v>
      </c>
    </row>
    <row r="9" customFormat="false" ht="57.45" hidden="false" customHeight="false" outlineLevel="0" collapsed="false">
      <c r="A9" s="28" t="s">
        <v>215</v>
      </c>
      <c r="B9" s="6" t="s">
        <v>216</v>
      </c>
      <c r="C9" s="6" t="s">
        <v>217</v>
      </c>
      <c r="D9" s="6" t="s">
        <v>153</v>
      </c>
      <c r="E9" s="29" t="s">
        <v>197</v>
      </c>
      <c r="F9" s="29" t="s">
        <v>31</v>
      </c>
      <c r="G9" s="29" t="s">
        <v>38</v>
      </c>
      <c r="H9" s="6" t="s">
        <v>218</v>
      </c>
      <c r="I9" s="6" t="s">
        <v>219</v>
      </c>
      <c r="J9" s="6" t="s">
        <v>220</v>
      </c>
      <c r="K9" s="6" t="s">
        <v>221</v>
      </c>
      <c r="L9" s="29" t="n">
        <v>16</v>
      </c>
      <c r="M9" s="6" t="s">
        <v>222</v>
      </c>
      <c r="N9" s="6" t="s">
        <v>223</v>
      </c>
      <c r="O9" s="6" t="s">
        <v>224</v>
      </c>
      <c r="P9" s="6" t="s">
        <v>225</v>
      </c>
      <c r="Q9" s="6" t="s">
        <v>226</v>
      </c>
      <c r="R9" s="6"/>
      <c r="S9" s="6"/>
      <c r="T9" s="6"/>
      <c r="U9" s="6"/>
      <c r="V9" s="6"/>
      <c r="W9" s="6"/>
      <c r="X9" s="6"/>
      <c r="Y9" s="6"/>
      <c r="Z9" s="6"/>
      <c r="AA9" s="6"/>
      <c r="AB9" s="6"/>
      <c r="AC9" s="6"/>
      <c r="AD9" s="30" t="s">
        <v>208</v>
      </c>
      <c r="AE9" s="30" t="s">
        <v>208</v>
      </c>
      <c r="AF9" s="31"/>
      <c r="AG9" s="32"/>
      <c r="AH9" s="31"/>
      <c r="AI9" s="32"/>
      <c r="AJ9" s="33" t="s">
        <v>127</v>
      </c>
      <c r="AK9" s="34"/>
      <c r="AL9" s="34"/>
      <c r="AM9" s="35"/>
      <c r="AN9" s="36" t="str">
        <f aca="false">IF(AD9&lt;&gt;"Y","Out of scope",IF(AF9="","Awaiting response",IF(AND(OR(AF9="Yes",AF9="Partial"),AG9=""),"No detail: treat as unanswered",IF(AND(AF9="Yes",AI9=""),"No evidence link",IF(AND(AJ9="Gap",OR(AL9="",AM9="")),"Gap needs owner and due date","OK")))))</f>
        <v>Awaiting response</v>
      </c>
    </row>
    <row r="10" customFormat="false" ht="57.45" hidden="false" customHeight="false" outlineLevel="0" collapsed="false">
      <c r="A10" s="28" t="s">
        <v>227</v>
      </c>
      <c r="B10" s="6" t="s">
        <v>216</v>
      </c>
      <c r="C10" s="6" t="s">
        <v>217</v>
      </c>
      <c r="D10" s="6" t="s">
        <v>153</v>
      </c>
      <c r="E10" s="29" t="s">
        <v>197</v>
      </c>
      <c r="F10" s="29" t="s">
        <v>31</v>
      </c>
      <c r="G10" s="29" t="s">
        <v>38</v>
      </c>
      <c r="H10" s="6" t="s">
        <v>228</v>
      </c>
      <c r="I10" s="6" t="s">
        <v>219</v>
      </c>
      <c r="J10" s="6" t="s">
        <v>220</v>
      </c>
      <c r="K10" s="6" t="s">
        <v>221</v>
      </c>
      <c r="L10" s="29" t="n">
        <v>16</v>
      </c>
      <c r="M10" s="6" t="s">
        <v>222</v>
      </c>
      <c r="N10" s="6" t="s">
        <v>223</v>
      </c>
      <c r="O10" s="6" t="s">
        <v>224</v>
      </c>
      <c r="P10" s="6" t="s">
        <v>225</v>
      </c>
      <c r="Q10" s="6" t="s">
        <v>226</v>
      </c>
      <c r="R10" s="6"/>
      <c r="S10" s="6"/>
      <c r="T10" s="6"/>
      <c r="U10" s="6"/>
      <c r="V10" s="6"/>
      <c r="W10" s="6"/>
      <c r="X10" s="6"/>
      <c r="Y10" s="6"/>
      <c r="Z10" s="6"/>
      <c r="AA10" s="6"/>
      <c r="AB10" s="6"/>
      <c r="AC10" s="6"/>
      <c r="AD10" s="30" t="s">
        <v>208</v>
      </c>
      <c r="AE10" s="30" t="s">
        <v>208</v>
      </c>
      <c r="AF10" s="31"/>
      <c r="AG10" s="32"/>
      <c r="AH10" s="31"/>
      <c r="AI10" s="32"/>
      <c r="AJ10" s="33" t="s">
        <v>127</v>
      </c>
      <c r="AK10" s="34"/>
      <c r="AL10" s="34"/>
      <c r="AM10" s="35"/>
      <c r="AN10" s="36" t="str">
        <f aca="false">IF(AD10&lt;&gt;"Y","Out of scope",IF(AF10="","Awaiting response",IF(AND(OR(AF10="Yes",AF10="Partial"),AG10=""),"No detail: treat as unanswered",IF(AND(AF10="Yes",AI10=""),"No evidence link",IF(AND(AJ10="Gap",OR(AL10="",AM10="")),"Gap needs owner and due date","OK")))))</f>
        <v>Awaiting response</v>
      </c>
    </row>
    <row r="11" customFormat="false" ht="57.45" hidden="false" customHeight="false" outlineLevel="0" collapsed="false">
      <c r="A11" s="28" t="s">
        <v>229</v>
      </c>
      <c r="B11" s="6" t="s">
        <v>230</v>
      </c>
      <c r="C11" s="6" t="s">
        <v>231</v>
      </c>
      <c r="D11" s="6" t="s">
        <v>153</v>
      </c>
      <c r="E11" s="29" t="s">
        <v>232</v>
      </c>
      <c r="F11" s="29" t="s">
        <v>31</v>
      </c>
      <c r="G11" s="29" t="s">
        <v>38</v>
      </c>
      <c r="H11" s="6" t="s">
        <v>233</v>
      </c>
      <c r="I11" s="6" t="s">
        <v>234</v>
      </c>
      <c r="J11" s="6" t="s">
        <v>235</v>
      </c>
      <c r="K11" s="6" t="s">
        <v>221</v>
      </c>
      <c r="L11" s="29" t="n">
        <v>6</v>
      </c>
      <c r="M11" s="6" t="s">
        <v>222</v>
      </c>
      <c r="N11" s="6" t="s">
        <v>223</v>
      </c>
      <c r="O11" s="6" t="s">
        <v>224</v>
      </c>
      <c r="P11" s="6" t="s">
        <v>236</v>
      </c>
      <c r="Q11" s="6"/>
      <c r="R11" s="6"/>
      <c r="S11" s="6"/>
      <c r="T11" s="6"/>
      <c r="U11" s="6"/>
      <c r="V11" s="6"/>
      <c r="W11" s="6"/>
      <c r="X11" s="6"/>
      <c r="Y11" s="6"/>
      <c r="Z11" s="6"/>
      <c r="AA11" s="6"/>
      <c r="AB11" s="6"/>
      <c r="AC11" s="6"/>
      <c r="AD11" s="30" t="s">
        <v>208</v>
      </c>
      <c r="AE11" s="30" t="s">
        <v>237</v>
      </c>
      <c r="AF11" s="31"/>
      <c r="AG11" s="32"/>
      <c r="AH11" s="31"/>
      <c r="AI11" s="32"/>
      <c r="AJ11" s="33" t="s">
        <v>127</v>
      </c>
      <c r="AK11" s="34"/>
      <c r="AL11" s="34"/>
      <c r="AM11" s="35"/>
      <c r="AN11" s="36" t="str">
        <f aca="false">IF(AD11&lt;&gt;"Y","Out of scope",IF(AF11="","Awaiting response",IF(AND(OR(AF11="Yes",AF11="Partial"),AG11=""),"No detail: treat as unanswered",IF(AND(AF11="Yes",AI11=""),"No evidence link",IF(AND(AJ11="Gap",OR(AL11="",AM11="")),"Gap needs owner and due date","OK")))))</f>
        <v>Awaiting response</v>
      </c>
    </row>
    <row r="12" customFormat="false" ht="57.45" hidden="false" customHeight="false" outlineLevel="0" collapsed="false">
      <c r="A12" s="28" t="s">
        <v>238</v>
      </c>
      <c r="B12" s="6" t="s">
        <v>230</v>
      </c>
      <c r="C12" s="6" t="s">
        <v>231</v>
      </c>
      <c r="D12" s="6" t="s">
        <v>153</v>
      </c>
      <c r="E12" s="29" t="s">
        <v>232</v>
      </c>
      <c r="F12" s="29" t="s">
        <v>31</v>
      </c>
      <c r="G12" s="29" t="s">
        <v>38</v>
      </c>
      <c r="H12" s="6" t="s">
        <v>239</v>
      </c>
      <c r="I12" s="6" t="s">
        <v>234</v>
      </c>
      <c r="J12" s="6" t="s">
        <v>235</v>
      </c>
      <c r="K12" s="6" t="s">
        <v>221</v>
      </c>
      <c r="L12" s="29" t="n">
        <v>6</v>
      </c>
      <c r="M12" s="6" t="s">
        <v>222</v>
      </c>
      <c r="N12" s="6" t="s">
        <v>223</v>
      </c>
      <c r="O12" s="6" t="s">
        <v>224</v>
      </c>
      <c r="P12" s="6" t="s">
        <v>236</v>
      </c>
      <c r="Q12" s="6"/>
      <c r="R12" s="6"/>
      <c r="S12" s="6"/>
      <c r="T12" s="6"/>
      <c r="U12" s="6"/>
      <c r="V12" s="6"/>
      <c r="W12" s="6"/>
      <c r="X12" s="6"/>
      <c r="Y12" s="6"/>
      <c r="Z12" s="6"/>
      <c r="AA12" s="6"/>
      <c r="AB12" s="6"/>
      <c r="AC12" s="6"/>
      <c r="AD12" s="30" t="s">
        <v>208</v>
      </c>
      <c r="AE12" s="30" t="s">
        <v>237</v>
      </c>
      <c r="AF12" s="31"/>
      <c r="AG12" s="32"/>
      <c r="AH12" s="31"/>
      <c r="AI12" s="32"/>
      <c r="AJ12" s="33" t="s">
        <v>127</v>
      </c>
      <c r="AK12" s="34"/>
      <c r="AL12" s="34"/>
      <c r="AM12" s="35"/>
      <c r="AN12" s="36" t="str">
        <f aca="false">IF(AD12&lt;&gt;"Y","Out of scope",IF(AF12="","Awaiting response",IF(AND(OR(AF12="Yes",AF12="Partial"),AG12=""),"No detail: treat as unanswered",IF(AND(AF12="Yes",AI12=""),"No evidence link",IF(AND(AJ12="Gap",OR(AL12="",AM12="")),"Gap needs owner and due date","OK")))))</f>
        <v>Awaiting response</v>
      </c>
    </row>
    <row r="13" customFormat="false" ht="57.45" hidden="false" customHeight="false" outlineLevel="0" collapsed="false">
      <c r="A13" s="28" t="s">
        <v>240</v>
      </c>
      <c r="B13" s="6" t="s">
        <v>241</v>
      </c>
      <c r="C13" s="6" t="s">
        <v>242</v>
      </c>
      <c r="D13" s="6" t="s">
        <v>153</v>
      </c>
      <c r="E13" s="29" t="s">
        <v>232</v>
      </c>
      <c r="F13" s="29" t="s">
        <v>31</v>
      </c>
      <c r="G13" s="29" t="s">
        <v>38</v>
      </c>
      <c r="H13" s="6" t="s">
        <v>243</v>
      </c>
      <c r="I13" s="6" t="s">
        <v>244</v>
      </c>
      <c r="J13" s="6" t="s">
        <v>245</v>
      </c>
      <c r="K13" s="6" t="s">
        <v>246</v>
      </c>
      <c r="L13" s="29" t="n">
        <v>19</v>
      </c>
      <c r="M13" s="6" t="s">
        <v>247</v>
      </c>
      <c r="N13" s="6" t="s">
        <v>248</v>
      </c>
      <c r="O13" s="6" t="s">
        <v>249</v>
      </c>
      <c r="P13" s="6" t="s">
        <v>250</v>
      </c>
      <c r="Q13" s="6"/>
      <c r="R13" s="6"/>
      <c r="S13" s="6"/>
      <c r="T13" s="6"/>
      <c r="U13" s="6"/>
      <c r="V13" s="6"/>
      <c r="W13" s="6"/>
      <c r="X13" s="6"/>
      <c r="Y13" s="6"/>
      <c r="Z13" s="6"/>
      <c r="AA13" s="6"/>
      <c r="AB13" s="6"/>
      <c r="AC13" s="6"/>
      <c r="AD13" s="30" t="s">
        <v>208</v>
      </c>
      <c r="AE13" s="30" t="s">
        <v>237</v>
      </c>
      <c r="AF13" s="31"/>
      <c r="AG13" s="32"/>
      <c r="AH13" s="31"/>
      <c r="AI13" s="32"/>
      <c r="AJ13" s="33" t="s">
        <v>127</v>
      </c>
      <c r="AK13" s="34"/>
      <c r="AL13" s="34"/>
      <c r="AM13" s="35"/>
      <c r="AN13" s="36" t="str">
        <f aca="false">IF(AD13&lt;&gt;"Y","Out of scope",IF(AF13="","Awaiting response",IF(AND(OR(AF13="Yes",AF13="Partial"),AG13=""),"No detail: treat as unanswered",IF(AND(AF13="Yes",AI13=""),"No evidence link",IF(AND(AJ13="Gap",OR(AL13="",AM13="")),"Gap needs owner and due date","OK")))))</f>
        <v>Awaiting response</v>
      </c>
    </row>
    <row r="14" customFormat="false" ht="57.45" hidden="false" customHeight="false" outlineLevel="0" collapsed="false">
      <c r="A14" s="28" t="s">
        <v>251</v>
      </c>
      <c r="B14" s="6" t="s">
        <v>241</v>
      </c>
      <c r="C14" s="6" t="s">
        <v>242</v>
      </c>
      <c r="D14" s="6" t="s">
        <v>153</v>
      </c>
      <c r="E14" s="29" t="s">
        <v>232</v>
      </c>
      <c r="F14" s="29" t="s">
        <v>31</v>
      </c>
      <c r="G14" s="29" t="s">
        <v>38</v>
      </c>
      <c r="H14" s="6" t="s">
        <v>252</v>
      </c>
      <c r="I14" s="6" t="s">
        <v>244</v>
      </c>
      <c r="J14" s="6" t="s">
        <v>245</v>
      </c>
      <c r="K14" s="6" t="s">
        <v>246</v>
      </c>
      <c r="L14" s="29" t="n">
        <v>19</v>
      </c>
      <c r="M14" s="6" t="s">
        <v>247</v>
      </c>
      <c r="N14" s="6" t="s">
        <v>248</v>
      </c>
      <c r="O14" s="6" t="s">
        <v>249</v>
      </c>
      <c r="P14" s="6" t="s">
        <v>250</v>
      </c>
      <c r="Q14" s="6"/>
      <c r="R14" s="6"/>
      <c r="S14" s="6"/>
      <c r="T14" s="6"/>
      <c r="U14" s="6"/>
      <c r="V14" s="6"/>
      <c r="W14" s="6"/>
      <c r="X14" s="6"/>
      <c r="Y14" s="6"/>
      <c r="Z14" s="6"/>
      <c r="AA14" s="6"/>
      <c r="AB14" s="6"/>
      <c r="AC14" s="6"/>
      <c r="AD14" s="30" t="s">
        <v>208</v>
      </c>
      <c r="AE14" s="30" t="s">
        <v>237</v>
      </c>
      <c r="AF14" s="31"/>
      <c r="AG14" s="32"/>
      <c r="AH14" s="31"/>
      <c r="AI14" s="32"/>
      <c r="AJ14" s="33" t="s">
        <v>127</v>
      </c>
      <c r="AK14" s="34"/>
      <c r="AL14" s="34"/>
      <c r="AM14" s="35"/>
      <c r="AN14" s="36" t="str">
        <f aca="false">IF(AD14&lt;&gt;"Y","Out of scope",IF(AF14="","Awaiting response",IF(AND(OR(AF14="Yes",AF14="Partial"),AG14=""),"No detail: treat as unanswered",IF(AND(AF14="Yes",AI14=""),"No evidence link",IF(AND(AJ14="Gap",OR(AL14="",AM14="")),"Gap needs owner and due date","OK")))))</f>
        <v>Awaiting response</v>
      </c>
    </row>
    <row r="15" customFormat="false" ht="57.45" hidden="false" customHeight="false" outlineLevel="0" collapsed="false">
      <c r="A15" s="28" t="s">
        <v>253</v>
      </c>
      <c r="B15" s="6" t="s">
        <v>254</v>
      </c>
      <c r="C15" s="6" t="s">
        <v>255</v>
      </c>
      <c r="D15" s="6" t="s">
        <v>148</v>
      </c>
      <c r="E15" s="29" t="s">
        <v>197</v>
      </c>
      <c r="F15" s="29" t="s">
        <v>31</v>
      </c>
      <c r="G15" s="29" t="s">
        <v>38</v>
      </c>
      <c r="H15" s="6" t="s">
        <v>256</v>
      </c>
      <c r="I15" s="6" t="s">
        <v>257</v>
      </c>
      <c r="J15" s="6" t="s">
        <v>258</v>
      </c>
      <c r="K15" s="6" t="s">
        <v>259</v>
      </c>
      <c r="L15" s="29" t="n">
        <v>52</v>
      </c>
      <c r="M15" s="6" t="s">
        <v>260</v>
      </c>
      <c r="N15" s="6" t="s">
        <v>261</v>
      </c>
      <c r="O15" s="6" t="s">
        <v>262</v>
      </c>
      <c r="P15" s="6" t="s">
        <v>263</v>
      </c>
      <c r="Q15" s="6" t="s">
        <v>264</v>
      </c>
      <c r="R15" s="6" t="s">
        <v>265</v>
      </c>
      <c r="S15" s="6" t="s">
        <v>266</v>
      </c>
      <c r="T15" s="6" t="s">
        <v>267</v>
      </c>
      <c r="U15" s="6" t="s">
        <v>268</v>
      </c>
      <c r="V15" s="6" t="s">
        <v>269</v>
      </c>
      <c r="W15" s="6" t="s">
        <v>270</v>
      </c>
      <c r="X15" s="6"/>
      <c r="Y15" s="6"/>
      <c r="Z15" s="6" t="s">
        <v>271</v>
      </c>
      <c r="AA15" s="6"/>
      <c r="AB15" s="6" t="s">
        <v>272</v>
      </c>
      <c r="AC15" s="6" t="s">
        <v>273</v>
      </c>
      <c r="AD15" s="30" t="s">
        <v>208</v>
      </c>
      <c r="AE15" s="30" t="s">
        <v>208</v>
      </c>
      <c r="AF15" s="31"/>
      <c r="AG15" s="32"/>
      <c r="AH15" s="31"/>
      <c r="AI15" s="32"/>
      <c r="AJ15" s="33" t="s">
        <v>127</v>
      </c>
      <c r="AK15" s="34"/>
      <c r="AL15" s="34"/>
      <c r="AM15" s="35"/>
      <c r="AN15" s="36" t="str">
        <f aca="false">IF(AD15&lt;&gt;"Y","Out of scope",IF(AF15="","Awaiting response",IF(AND(OR(AF15="Yes",AF15="Partial"),AG15=""),"No detail: treat as unanswered",IF(AND(AF15="Yes",AI15=""),"No evidence link",IF(AND(AJ15="Gap",OR(AL15="",AM15="")),"Gap needs owner and due date","OK")))))</f>
        <v>Awaiting response</v>
      </c>
    </row>
    <row r="16" customFormat="false" ht="57.45" hidden="false" customHeight="false" outlineLevel="0" collapsed="false">
      <c r="A16" s="28" t="s">
        <v>274</v>
      </c>
      <c r="B16" s="6" t="s">
        <v>254</v>
      </c>
      <c r="C16" s="6" t="s">
        <v>255</v>
      </c>
      <c r="D16" s="6" t="s">
        <v>148</v>
      </c>
      <c r="E16" s="29" t="s">
        <v>197</v>
      </c>
      <c r="F16" s="29" t="s">
        <v>31</v>
      </c>
      <c r="G16" s="29" t="s">
        <v>38</v>
      </c>
      <c r="H16" s="6" t="s">
        <v>275</v>
      </c>
      <c r="I16" s="6" t="s">
        <v>257</v>
      </c>
      <c r="J16" s="6" t="s">
        <v>258</v>
      </c>
      <c r="K16" s="6" t="s">
        <v>259</v>
      </c>
      <c r="L16" s="29" t="n">
        <v>52</v>
      </c>
      <c r="M16" s="6" t="s">
        <v>260</v>
      </c>
      <c r="N16" s="6" t="s">
        <v>261</v>
      </c>
      <c r="O16" s="6" t="s">
        <v>262</v>
      </c>
      <c r="P16" s="6" t="s">
        <v>263</v>
      </c>
      <c r="Q16" s="6" t="s">
        <v>264</v>
      </c>
      <c r="R16" s="6" t="s">
        <v>265</v>
      </c>
      <c r="S16" s="6" t="s">
        <v>266</v>
      </c>
      <c r="T16" s="6" t="s">
        <v>267</v>
      </c>
      <c r="U16" s="6" t="s">
        <v>268</v>
      </c>
      <c r="V16" s="6" t="s">
        <v>269</v>
      </c>
      <c r="W16" s="6" t="s">
        <v>270</v>
      </c>
      <c r="X16" s="6"/>
      <c r="Y16" s="6"/>
      <c r="Z16" s="6" t="s">
        <v>271</v>
      </c>
      <c r="AA16" s="6"/>
      <c r="AB16" s="6" t="s">
        <v>272</v>
      </c>
      <c r="AC16" s="6" t="s">
        <v>273</v>
      </c>
      <c r="AD16" s="30" t="s">
        <v>208</v>
      </c>
      <c r="AE16" s="30" t="s">
        <v>208</v>
      </c>
      <c r="AF16" s="31"/>
      <c r="AG16" s="32"/>
      <c r="AH16" s="31"/>
      <c r="AI16" s="32"/>
      <c r="AJ16" s="33" t="s">
        <v>127</v>
      </c>
      <c r="AK16" s="34"/>
      <c r="AL16" s="34"/>
      <c r="AM16" s="35"/>
      <c r="AN16" s="36" t="str">
        <f aca="false">IF(AD16&lt;&gt;"Y","Out of scope",IF(AF16="","Awaiting response",IF(AND(OR(AF16="Yes",AF16="Partial"),AG16=""),"No detail: treat as unanswered",IF(AND(AF16="Yes",AI16=""),"No evidence link",IF(AND(AJ16="Gap",OR(AL16="",AM16="")),"Gap needs owner and due date","OK")))))</f>
        <v>Awaiting response</v>
      </c>
    </row>
    <row r="17" customFormat="false" ht="57.45" hidden="false" customHeight="false" outlineLevel="0" collapsed="false">
      <c r="A17" s="28" t="s">
        <v>276</v>
      </c>
      <c r="B17" s="6" t="s">
        <v>254</v>
      </c>
      <c r="C17" s="6" t="s">
        <v>255</v>
      </c>
      <c r="D17" s="6" t="s">
        <v>148</v>
      </c>
      <c r="E17" s="29" t="s">
        <v>197</v>
      </c>
      <c r="F17" s="29" t="s">
        <v>31</v>
      </c>
      <c r="G17" s="29" t="s">
        <v>38</v>
      </c>
      <c r="H17" s="6" t="s">
        <v>277</v>
      </c>
      <c r="I17" s="6" t="s">
        <v>257</v>
      </c>
      <c r="J17" s="6" t="s">
        <v>258</v>
      </c>
      <c r="K17" s="6" t="s">
        <v>259</v>
      </c>
      <c r="L17" s="29" t="n">
        <v>52</v>
      </c>
      <c r="M17" s="6" t="s">
        <v>260</v>
      </c>
      <c r="N17" s="6" t="s">
        <v>261</v>
      </c>
      <c r="O17" s="6" t="s">
        <v>262</v>
      </c>
      <c r="P17" s="6" t="s">
        <v>263</v>
      </c>
      <c r="Q17" s="6" t="s">
        <v>264</v>
      </c>
      <c r="R17" s="6" t="s">
        <v>265</v>
      </c>
      <c r="S17" s="6" t="s">
        <v>266</v>
      </c>
      <c r="T17" s="6" t="s">
        <v>267</v>
      </c>
      <c r="U17" s="6" t="s">
        <v>268</v>
      </c>
      <c r="V17" s="6" t="s">
        <v>269</v>
      </c>
      <c r="W17" s="6" t="s">
        <v>270</v>
      </c>
      <c r="X17" s="6"/>
      <c r="Y17" s="6"/>
      <c r="Z17" s="6" t="s">
        <v>271</v>
      </c>
      <c r="AA17" s="6"/>
      <c r="AB17" s="6" t="s">
        <v>272</v>
      </c>
      <c r="AC17" s="6" t="s">
        <v>273</v>
      </c>
      <c r="AD17" s="30" t="s">
        <v>208</v>
      </c>
      <c r="AE17" s="30" t="s">
        <v>208</v>
      </c>
      <c r="AF17" s="31"/>
      <c r="AG17" s="32"/>
      <c r="AH17" s="31"/>
      <c r="AI17" s="32"/>
      <c r="AJ17" s="33" t="s">
        <v>127</v>
      </c>
      <c r="AK17" s="34"/>
      <c r="AL17" s="34"/>
      <c r="AM17" s="35"/>
      <c r="AN17" s="36" t="str">
        <f aca="false">IF(AD17&lt;&gt;"Y","Out of scope",IF(AF17="","Awaiting response",IF(AND(OR(AF17="Yes",AF17="Partial"),AG17=""),"No detail: treat as unanswered",IF(AND(AF17="Yes",AI17=""),"No evidence link",IF(AND(AJ17="Gap",OR(AL17="",AM17="")),"Gap needs owner and due date","OK")))))</f>
        <v>Awaiting response</v>
      </c>
    </row>
    <row r="18" customFormat="false" ht="46.25" hidden="false" customHeight="false" outlineLevel="0" collapsed="false">
      <c r="A18" s="28" t="s">
        <v>278</v>
      </c>
      <c r="B18" s="6" t="s">
        <v>279</v>
      </c>
      <c r="C18" s="6" t="s">
        <v>280</v>
      </c>
      <c r="D18" s="6" t="s">
        <v>147</v>
      </c>
      <c r="E18" s="29" t="s">
        <v>197</v>
      </c>
      <c r="F18" s="29" t="s">
        <v>29</v>
      </c>
      <c r="G18" s="29" t="s">
        <v>38</v>
      </c>
      <c r="H18" s="6" t="s">
        <v>281</v>
      </c>
      <c r="I18" s="6" t="s">
        <v>282</v>
      </c>
      <c r="J18" s="6" t="s">
        <v>283</v>
      </c>
      <c r="K18" s="6" t="s">
        <v>284</v>
      </c>
      <c r="L18" s="29" t="n">
        <v>15</v>
      </c>
      <c r="M18" s="6" t="s">
        <v>285</v>
      </c>
      <c r="N18" s="6" t="s">
        <v>286</v>
      </c>
      <c r="O18" s="6" t="s">
        <v>287</v>
      </c>
      <c r="P18" s="6" t="s">
        <v>288</v>
      </c>
      <c r="Q18" s="6"/>
      <c r="R18" s="6"/>
      <c r="S18" s="6"/>
      <c r="T18" s="6"/>
      <c r="U18" s="6"/>
      <c r="V18" s="6" t="s">
        <v>289</v>
      </c>
      <c r="W18" s="6"/>
      <c r="X18" s="6"/>
      <c r="Y18" s="6"/>
      <c r="Z18" s="6"/>
      <c r="AA18" s="6"/>
      <c r="AB18" s="6"/>
      <c r="AC18" s="6" t="s">
        <v>290</v>
      </c>
      <c r="AD18" s="30" t="s">
        <v>208</v>
      </c>
      <c r="AE18" s="30" t="s">
        <v>208</v>
      </c>
      <c r="AF18" s="31"/>
      <c r="AG18" s="32"/>
      <c r="AH18" s="31"/>
      <c r="AI18" s="32"/>
      <c r="AJ18" s="33" t="s">
        <v>127</v>
      </c>
      <c r="AK18" s="34"/>
      <c r="AL18" s="34"/>
      <c r="AM18" s="35"/>
      <c r="AN18" s="36" t="str">
        <f aca="false">IF(AD18&lt;&gt;"Y","Out of scope",IF(AF18="","Awaiting response",IF(AND(OR(AF18="Yes",AF18="Partial"),AG18=""),"No detail: treat as unanswered",IF(AND(AF18="Yes",AI18=""),"No evidence link",IF(AND(AJ18="Gap",OR(AL18="",AM18="")),"Gap needs owner and due date","OK")))))</f>
        <v>Awaiting response</v>
      </c>
    </row>
    <row r="19" customFormat="false" ht="46.25" hidden="false" customHeight="false" outlineLevel="0" collapsed="false">
      <c r="A19" s="28" t="s">
        <v>291</v>
      </c>
      <c r="B19" s="6" t="s">
        <v>279</v>
      </c>
      <c r="C19" s="6" t="s">
        <v>280</v>
      </c>
      <c r="D19" s="6" t="s">
        <v>147</v>
      </c>
      <c r="E19" s="29" t="s">
        <v>197</v>
      </c>
      <c r="F19" s="29" t="s">
        <v>29</v>
      </c>
      <c r="G19" s="29" t="s">
        <v>38</v>
      </c>
      <c r="H19" s="6" t="s">
        <v>292</v>
      </c>
      <c r="I19" s="6" t="s">
        <v>282</v>
      </c>
      <c r="J19" s="6" t="s">
        <v>283</v>
      </c>
      <c r="K19" s="6" t="s">
        <v>284</v>
      </c>
      <c r="L19" s="29" t="n">
        <v>15</v>
      </c>
      <c r="M19" s="6" t="s">
        <v>285</v>
      </c>
      <c r="N19" s="6" t="s">
        <v>286</v>
      </c>
      <c r="O19" s="6" t="s">
        <v>287</v>
      </c>
      <c r="P19" s="6" t="s">
        <v>288</v>
      </c>
      <c r="Q19" s="6"/>
      <c r="R19" s="6"/>
      <c r="S19" s="6"/>
      <c r="T19" s="6"/>
      <c r="U19" s="6"/>
      <c r="V19" s="6" t="s">
        <v>289</v>
      </c>
      <c r="W19" s="6"/>
      <c r="X19" s="6"/>
      <c r="Y19" s="6"/>
      <c r="Z19" s="6"/>
      <c r="AA19" s="6"/>
      <c r="AB19" s="6"/>
      <c r="AC19" s="6" t="s">
        <v>290</v>
      </c>
      <c r="AD19" s="30" t="s">
        <v>208</v>
      </c>
      <c r="AE19" s="30" t="s">
        <v>208</v>
      </c>
      <c r="AF19" s="31"/>
      <c r="AG19" s="32"/>
      <c r="AH19" s="31"/>
      <c r="AI19" s="32"/>
      <c r="AJ19" s="33" t="s">
        <v>127</v>
      </c>
      <c r="AK19" s="34"/>
      <c r="AL19" s="34"/>
      <c r="AM19" s="35"/>
      <c r="AN19" s="36" t="str">
        <f aca="false">IF(AD19&lt;&gt;"Y","Out of scope",IF(AF19="","Awaiting response",IF(AND(OR(AF19="Yes",AF19="Partial"),AG19=""),"No detail: treat as unanswered",IF(AND(AF19="Yes",AI19=""),"No evidence link",IF(AND(AJ19="Gap",OR(AL19="",AM19="")),"Gap needs owner and due date","OK")))))</f>
        <v>Awaiting response</v>
      </c>
    </row>
    <row r="20" customFormat="false" ht="46.25" hidden="false" customHeight="false" outlineLevel="0" collapsed="false">
      <c r="A20" s="28" t="s">
        <v>293</v>
      </c>
      <c r="B20" s="6" t="s">
        <v>279</v>
      </c>
      <c r="C20" s="6" t="s">
        <v>280</v>
      </c>
      <c r="D20" s="6" t="s">
        <v>147</v>
      </c>
      <c r="E20" s="29" t="s">
        <v>197</v>
      </c>
      <c r="F20" s="29" t="s">
        <v>29</v>
      </c>
      <c r="G20" s="29" t="s">
        <v>38</v>
      </c>
      <c r="H20" s="6" t="s">
        <v>294</v>
      </c>
      <c r="I20" s="6" t="s">
        <v>282</v>
      </c>
      <c r="J20" s="6" t="s">
        <v>283</v>
      </c>
      <c r="K20" s="6" t="s">
        <v>284</v>
      </c>
      <c r="L20" s="29" t="n">
        <v>15</v>
      </c>
      <c r="M20" s="6" t="s">
        <v>285</v>
      </c>
      <c r="N20" s="6" t="s">
        <v>286</v>
      </c>
      <c r="O20" s="6" t="s">
        <v>287</v>
      </c>
      <c r="P20" s="6" t="s">
        <v>288</v>
      </c>
      <c r="Q20" s="6"/>
      <c r="R20" s="6"/>
      <c r="S20" s="6"/>
      <c r="T20" s="6"/>
      <c r="U20" s="6"/>
      <c r="V20" s="6" t="s">
        <v>289</v>
      </c>
      <c r="W20" s="6"/>
      <c r="X20" s="6"/>
      <c r="Y20" s="6"/>
      <c r="Z20" s="6"/>
      <c r="AA20" s="6"/>
      <c r="AB20" s="6"/>
      <c r="AC20" s="6" t="s">
        <v>290</v>
      </c>
      <c r="AD20" s="30" t="s">
        <v>208</v>
      </c>
      <c r="AE20" s="30" t="s">
        <v>208</v>
      </c>
      <c r="AF20" s="31"/>
      <c r="AG20" s="32"/>
      <c r="AH20" s="31"/>
      <c r="AI20" s="32"/>
      <c r="AJ20" s="33" t="s">
        <v>127</v>
      </c>
      <c r="AK20" s="34"/>
      <c r="AL20" s="34"/>
      <c r="AM20" s="35"/>
      <c r="AN20" s="36" t="str">
        <f aca="false">IF(AD20&lt;&gt;"Y","Out of scope",IF(AF20="","Awaiting response",IF(AND(OR(AF20="Yes",AF20="Partial"),AG20=""),"No detail: treat as unanswered",IF(AND(AF20="Yes",AI20=""),"No evidence link",IF(AND(AJ20="Gap",OR(AL20="",AM20="")),"Gap needs owner and due date","OK")))))</f>
        <v>Awaiting response</v>
      </c>
    </row>
    <row r="21" customFormat="false" ht="91" hidden="false" customHeight="false" outlineLevel="0" collapsed="false">
      <c r="A21" s="28" t="s">
        <v>295</v>
      </c>
      <c r="B21" s="6" t="s">
        <v>296</v>
      </c>
      <c r="C21" s="6" t="s">
        <v>297</v>
      </c>
      <c r="D21" s="6" t="s">
        <v>154</v>
      </c>
      <c r="E21" s="29" t="s">
        <v>232</v>
      </c>
      <c r="F21" s="29" t="s">
        <v>27</v>
      </c>
      <c r="G21" s="29" t="s">
        <v>40</v>
      </c>
      <c r="H21" s="6" t="s">
        <v>298</v>
      </c>
      <c r="I21" s="6" t="s">
        <v>299</v>
      </c>
      <c r="J21" s="6" t="s">
        <v>300</v>
      </c>
      <c r="K21" s="6" t="s">
        <v>301</v>
      </c>
      <c r="L21" s="29" t="n">
        <v>15</v>
      </c>
      <c r="M21" s="6" t="s">
        <v>302</v>
      </c>
      <c r="N21" s="6" t="s">
        <v>303</v>
      </c>
      <c r="O21" s="6" t="s">
        <v>304</v>
      </c>
      <c r="P21" s="6" t="s">
        <v>305</v>
      </c>
      <c r="Q21" s="6" t="s">
        <v>306</v>
      </c>
      <c r="R21" s="6" t="s">
        <v>307</v>
      </c>
      <c r="S21" s="6" t="s">
        <v>308</v>
      </c>
      <c r="T21" s="6"/>
      <c r="U21" s="6" t="s">
        <v>309</v>
      </c>
      <c r="V21" s="6" t="s">
        <v>310</v>
      </c>
      <c r="W21" s="6"/>
      <c r="X21" s="6" t="s">
        <v>311</v>
      </c>
      <c r="Y21" s="6" t="s">
        <v>312</v>
      </c>
      <c r="Z21" s="6" t="s">
        <v>271</v>
      </c>
      <c r="AA21" s="6" t="s">
        <v>313</v>
      </c>
      <c r="AB21" s="6" t="s">
        <v>314</v>
      </c>
      <c r="AC21" s="6"/>
      <c r="AD21" s="30" t="s">
        <v>208</v>
      </c>
      <c r="AE21" s="30" t="s">
        <v>237</v>
      </c>
      <c r="AF21" s="31"/>
      <c r="AG21" s="32"/>
      <c r="AH21" s="31"/>
      <c r="AI21" s="32"/>
      <c r="AJ21" s="33" t="s">
        <v>127</v>
      </c>
      <c r="AK21" s="34"/>
      <c r="AL21" s="34"/>
      <c r="AM21" s="35"/>
      <c r="AN21" s="36" t="str">
        <f aca="false">IF(AD21&lt;&gt;"Y","Out of scope",IF(AF21="","Awaiting response",IF(AND(OR(AF21="Yes",AF21="Partial"),AG21=""),"No detail: treat as unanswered",IF(AND(AF21="Yes",AI21=""),"No evidence link",IF(AND(AJ21="Gap",OR(AL21="",AM21="")),"Gap needs owner and due date","OK")))))</f>
        <v>Awaiting response</v>
      </c>
    </row>
    <row r="22" customFormat="false" ht="91" hidden="false" customHeight="false" outlineLevel="0" collapsed="false">
      <c r="A22" s="28" t="s">
        <v>315</v>
      </c>
      <c r="B22" s="6" t="s">
        <v>296</v>
      </c>
      <c r="C22" s="6" t="s">
        <v>297</v>
      </c>
      <c r="D22" s="6" t="s">
        <v>154</v>
      </c>
      <c r="E22" s="29" t="s">
        <v>232</v>
      </c>
      <c r="F22" s="29" t="s">
        <v>27</v>
      </c>
      <c r="G22" s="29" t="s">
        <v>40</v>
      </c>
      <c r="H22" s="6" t="s">
        <v>316</v>
      </c>
      <c r="I22" s="6" t="s">
        <v>299</v>
      </c>
      <c r="J22" s="6" t="s">
        <v>300</v>
      </c>
      <c r="K22" s="6" t="s">
        <v>301</v>
      </c>
      <c r="L22" s="29" t="n">
        <v>15</v>
      </c>
      <c r="M22" s="6" t="s">
        <v>302</v>
      </c>
      <c r="N22" s="6" t="s">
        <v>303</v>
      </c>
      <c r="O22" s="6" t="s">
        <v>304</v>
      </c>
      <c r="P22" s="6" t="s">
        <v>305</v>
      </c>
      <c r="Q22" s="6" t="s">
        <v>306</v>
      </c>
      <c r="R22" s="6" t="s">
        <v>307</v>
      </c>
      <c r="S22" s="6" t="s">
        <v>308</v>
      </c>
      <c r="T22" s="6"/>
      <c r="U22" s="6" t="s">
        <v>309</v>
      </c>
      <c r="V22" s="6" t="s">
        <v>310</v>
      </c>
      <c r="W22" s="6"/>
      <c r="X22" s="6" t="s">
        <v>311</v>
      </c>
      <c r="Y22" s="6" t="s">
        <v>312</v>
      </c>
      <c r="Z22" s="6" t="s">
        <v>271</v>
      </c>
      <c r="AA22" s="6" t="s">
        <v>313</v>
      </c>
      <c r="AB22" s="6" t="s">
        <v>314</v>
      </c>
      <c r="AC22" s="6"/>
      <c r="AD22" s="30" t="s">
        <v>208</v>
      </c>
      <c r="AE22" s="30" t="s">
        <v>237</v>
      </c>
      <c r="AF22" s="31"/>
      <c r="AG22" s="32"/>
      <c r="AH22" s="31"/>
      <c r="AI22" s="32"/>
      <c r="AJ22" s="33" t="s">
        <v>127</v>
      </c>
      <c r="AK22" s="34"/>
      <c r="AL22" s="34"/>
      <c r="AM22" s="35"/>
      <c r="AN22" s="36" t="str">
        <f aca="false">IF(AD22&lt;&gt;"Y","Out of scope",IF(AF22="","Awaiting response",IF(AND(OR(AF22="Yes",AF22="Partial"),AG22=""),"No detail: treat as unanswered",IF(AND(AF22="Yes",AI22=""),"No evidence link",IF(AND(AJ22="Gap",OR(AL22="",AM22="")),"Gap needs owner and due date","OK")))))</f>
        <v>Awaiting response</v>
      </c>
    </row>
    <row r="23" customFormat="false" ht="46.25" hidden="false" customHeight="false" outlineLevel="0" collapsed="false">
      <c r="A23" s="28" t="s">
        <v>317</v>
      </c>
      <c r="B23" s="6" t="s">
        <v>318</v>
      </c>
      <c r="C23" s="6" t="s">
        <v>319</v>
      </c>
      <c r="D23" s="6" t="s">
        <v>152</v>
      </c>
      <c r="E23" s="29" t="s">
        <v>197</v>
      </c>
      <c r="F23" s="29" t="s">
        <v>33</v>
      </c>
      <c r="G23" s="29" t="s">
        <v>38</v>
      </c>
      <c r="H23" s="6" t="s">
        <v>320</v>
      </c>
      <c r="I23" s="6" t="s">
        <v>321</v>
      </c>
      <c r="J23" s="6" t="s">
        <v>322</v>
      </c>
      <c r="K23" s="6" t="s">
        <v>323</v>
      </c>
      <c r="L23" s="29" t="n">
        <v>23</v>
      </c>
      <c r="M23" s="6" t="s">
        <v>324</v>
      </c>
      <c r="N23" s="6" t="s">
        <v>325</v>
      </c>
      <c r="O23" s="6" t="s">
        <v>326</v>
      </c>
      <c r="P23" s="6" t="s">
        <v>327</v>
      </c>
      <c r="Q23" s="6" t="s">
        <v>328</v>
      </c>
      <c r="R23" s="6" t="s">
        <v>329</v>
      </c>
      <c r="S23" s="6" t="s">
        <v>266</v>
      </c>
      <c r="T23" s="6"/>
      <c r="U23" s="6"/>
      <c r="V23" s="6" t="s">
        <v>330</v>
      </c>
      <c r="W23" s="6"/>
      <c r="X23" s="6"/>
      <c r="Y23" s="6"/>
      <c r="Z23" s="6"/>
      <c r="AA23" s="6"/>
      <c r="AB23" s="6"/>
      <c r="AC23" s="6" t="s">
        <v>331</v>
      </c>
      <c r="AD23" s="30" t="s">
        <v>208</v>
      </c>
      <c r="AE23" s="30" t="s">
        <v>208</v>
      </c>
      <c r="AF23" s="31"/>
      <c r="AG23" s="32"/>
      <c r="AH23" s="31"/>
      <c r="AI23" s="32"/>
      <c r="AJ23" s="33" t="s">
        <v>127</v>
      </c>
      <c r="AK23" s="34"/>
      <c r="AL23" s="34"/>
      <c r="AM23" s="35"/>
      <c r="AN23" s="36" t="str">
        <f aca="false">IF(AD23&lt;&gt;"Y","Out of scope",IF(AF23="","Awaiting response",IF(AND(OR(AF23="Yes",AF23="Partial"),AG23=""),"No detail: treat as unanswered",IF(AND(AF23="Yes",AI23=""),"No evidence link",IF(AND(AJ23="Gap",OR(AL23="",AM23="")),"Gap needs owner and due date","OK")))))</f>
        <v>Awaiting response</v>
      </c>
    </row>
    <row r="24" customFormat="false" ht="46.25" hidden="false" customHeight="false" outlineLevel="0" collapsed="false">
      <c r="A24" s="28" t="s">
        <v>332</v>
      </c>
      <c r="B24" s="6" t="s">
        <v>318</v>
      </c>
      <c r="C24" s="6" t="s">
        <v>319</v>
      </c>
      <c r="D24" s="6" t="s">
        <v>152</v>
      </c>
      <c r="E24" s="29" t="s">
        <v>197</v>
      </c>
      <c r="F24" s="29" t="s">
        <v>33</v>
      </c>
      <c r="G24" s="29" t="s">
        <v>38</v>
      </c>
      <c r="H24" s="6" t="s">
        <v>333</v>
      </c>
      <c r="I24" s="6" t="s">
        <v>321</v>
      </c>
      <c r="J24" s="6" t="s">
        <v>322</v>
      </c>
      <c r="K24" s="6" t="s">
        <v>323</v>
      </c>
      <c r="L24" s="29" t="n">
        <v>23</v>
      </c>
      <c r="M24" s="6" t="s">
        <v>324</v>
      </c>
      <c r="N24" s="6" t="s">
        <v>325</v>
      </c>
      <c r="O24" s="6" t="s">
        <v>326</v>
      </c>
      <c r="P24" s="6" t="s">
        <v>327</v>
      </c>
      <c r="Q24" s="6" t="s">
        <v>328</v>
      </c>
      <c r="R24" s="6" t="s">
        <v>329</v>
      </c>
      <c r="S24" s="6" t="s">
        <v>266</v>
      </c>
      <c r="T24" s="6"/>
      <c r="U24" s="6"/>
      <c r="V24" s="6" t="s">
        <v>330</v>
      </c>
      <c r="W24" s="6"/>
      <c r="X24" s="6"/>
      <c r="Y24" s="6"/>
      <c r="Z24" s="6"/>
      <c r="AA24" s="6"/>
      <c r="AB24" s="6"/>
      <c r="AC24" s="6" t="s">
        <v>331</v>
      </c>
      <c r="AD24" s="30" t="s">
        <v>208</v>
      </c>
      <c r="AE24" s="30" t="s">
        <v>208</v>
      </c>
      <c r="AF24" s="31"/>
      <c r="AG24" s="32"/>
      <c r="AH24" s="31"/>
      <c r="AI24" s="32"/>
      <c r="AJ24" s="33" t="s">
        <v>127</v>
      </c>
      <c r="AK24" s="34"/>
      <c r="AL24" s="34"/>
      <c r="AM24" s="35"/>
      <c r="AN24" s="36" t="str">
        <f aca="false">IF(AD24&lt;&gt;"Y","Out of scope",IF(AF24="","Awaiting response",IF(AND(OR(AF24="Yes",AF24="Partial"),AG24=""),"No detail: treat as unanswered",IF(AND(AF24="Yes",AI24=""),"No evidence link",IF(AND(AJ24="Gap",OR(AL24="",AM24="")),"Gap needs owner and due date","OK")))))</f>
        <v>Awaiting response</v>
      </c>
    </row>
    <row r="25" customFormat="false" ht="46.25" hidden="false" customHeight="false" outlineLevel="0" collapsed="false">
      <c r="A25" s="28" t="s">
        <v>334</v>
      </c>
      <c r="B25" s="6" t="s">
        <v>318</v>
      </c>
      <c r="C25" s="6" t="s">
        <v>319</v>
      </c>
      <c r="D25" s="6" t="s">
        <v>152</v>
      </c>
      <c r="E25" s="29" t="s">
        <v>197</v>
      </c>
      <c r="F25" s="29" t="s">
        <v>33</v>
      </c>
      <c r="G25" s="29" t="s">
        <v>38</v>
      </c>
      <c r="H25" s="6" t="s">
        <v>335</v>
      </c>
      <c r="I25" s="6" t="s">
        <v>321</v>
      </c>
      <c r="J25" s="6" t="s">
        <v>322</v>
      </c>
      <c r="K25" s="6" t="s">
        <v>323</v>
      </c>
      <c r="L25" s="29" t="n">
        <v>23</v>
      </c>
      <c r="M25" s="6" t="s">
        <v>324</v>
      </c>
      <c r="N25" s="6" t="s">
        <v>325</v>
      </c>
      <c r="O25" s="6" t="s">
        <v>326</v>
      </c>
      <c r="P25" s="6" t="s">
        <v>327</v>
      </c>
      <c r="Q25" s="6" t="s">
        <v>328</v>
      </c>
      <c r="R25" s="6" t="s">
        <v>329</v>
      </c>
      <c r="S25" s="6" t="s">
        <v>266</v>
      </c>
      <c r="T25" s="6"/>
      <c r="U25" s="6"/>
      <c r="V25" s="6" t="s">
        <v>330</v>
      </c>
      <c r="W25" s="6"/>
      <c r="X25" s="6"/>
      <c r="Y25" s="6"/>
      <c r="Z25" s="6"/>
      <c r="AA25" s="6"/>
      <c r="AB25" s="6"/>
      <c r="AC25" s="6" t="s">
        <v>331</v>
      </c>
      <c r="AD25" s="30" t="s">
        <v>208</v>
      </c>
      <c r="AE25" s="30" t="s">
        <v>208</v>
      </c>
      <c r="AF25" s="31"/>
      <c r="AG25" s="32"/>
      <c r="AH25" s="31"/>
      <c r="AI25" s="32"/>
      <c r="AJ25" s="33" t="s">
        <v>127</v>
      </c>
      <c r="AK25" s="34"/>
      <c r="AL25" s="34"/>
      <c r="AM25" s="35"/>
      <c r="AN25" s="36" t="str">
        <f aca="false">IF(AD25&lt;&gt;"Y","Out of scope",IF(AF25="","Awaiting response",IF(AND(OR(AF25="Yes",AF25="Partial"),AG25=""),"No detail: treat as unanswered",IF(AND(AF25="Yes",AI25=""),"No evidence link",IF(AND(AJ25="Gap",OR(AL25="",AM25="")),"Gap needs owner and due date","OK")))))</f>
        <v>Awaiting response</v>
      </c>
    </row>
    <row r="26" customFormat="false" ht="79.85" hidden="false" customHeight="false" outlineLevel="0" collapsed="false">
      <c r="A26" s="28" t="s">
        <v>336</v>
      </c>
      <c r="B26" s="6" t="s">
        <v>337</v>
      </c>
      <c r="C26" s="6" t="s">
        <v>338</v>
      </c>
      <c r="D26" s="6" t="s">
        <v>152</v>
      </c>
      <c r="E26" s="29" t="s">
        <v>232</v>
      </c>
      <c r="F26" s="29" t="s">
        <v>35</v>
      </c>
      <c r="G26" s="29" t="s">
        <v>38</v>
      </c>
      <c r="H26" s="6" t="s">
        <v>339</v>
      </c>
      <c r="I26" s="6" t="s">
        <v>340</v>
      </c>
      <c r="J26" s="6" t="s">
        <v>341</v>
      </c>
      <c r="K26" s="6" t="s">
        <v>342</v>
      </c>
      <c r="L26" s="29" t="n">
        <v>22</v>
      </c>
      <c r="M26" s="6" t="s">
        <v>343</v>
      </c>
      <c r="N26" s="6" t="s">
        <v>344</v>
      </c>
      <c r="O26" s="6" t="s">
        <v>345</v>
      </c>
      <c r="P26" s="6" t="s">
        <v>346</v>
      </c>
      <c r="Q26" s="6" t="s">
        <v>347</v>
      </c>
      <c r="R26" s="6"/>
      <c r="S26" s="6"/>
      <c r="T26" s="6"/>
      <c r="U26" s="6"/>
      <c r="V26" s="6" t="s">
        <v>348</v>
      </c>
      <c r="W26" s="6"/>
      <c r="X26" s="6"/>
      <c r="Y26" s="6"/>
      <c r="Z26" s="6"/>
      <c r="AA26" s="6"/>
      <c r="AB26" s="6"/>
      <c r="AC26" s="6" t="s">
        <v>331</v>
      </c>
      <c r="AD26" s="30" t="s">
        <v>208</v>
      </c>
      <c r="AE26" s="30" t="s">
        <v>237</v>
      </c>
      <c r="AF26" s="31"/>
      <c r="AG26" s="32"/>
      <c r="AH26" s="31"/>
      <c r="AI26" s="32"/>
      <c r="AJ26" s="33" t="s">
        <v>127</v>
      </c>
      <c r="AK26" s="34"/>
      <c r="AL26" s="34"/>
      <c r="AM26" s="35"/>
      <c r="AN26" s="36" t="str">
        <f aca="false">IF(AD26&lt;&gt;"Y","Out of scope",IF(AF26="","Awaiting response",IF(AND(OR(AF26="Yes",AF26="Partial"),AG26=""),"No detail: treat as unanswered",IF(AND(AF26="Yes",AI26=""),"No evidence link",IF(AND(AJ26="Gap",OR(AL26="",AM26="")),"Gap needs owner and due date","OK")))))</f>
        <v>Awaiting response</v>
      </c>
    </row>
    <row r="27" customFormat="false" ht="79.85" hidden="false" customHeight="false" outlineLevel="0" collapsed="false">
      <c r="A27" s="28" t="s">
        <v>349</v>
      </c>
      <c r="B27" s="6" t="s">
        <v>337</v>
      </c>
      <c r="C27" s="6" t="s">
        <v>338</v>
      </c>
      <c r="D27" s="6" t="s">
        <v>152</v>
      </c>
      <c r="E27" s="29" t="s">
        <v>232</v>
      </c>
      <c r="F27" s="29" t="s">
        <v>35</v>
      </c>
      <c r="G27" s="29" t="s">
        <v>38</v>
      </c>
      <c r="H27" s="6" t="s">
        <v>350</v>
      </c>
      <c r="I27" s="6" t="s">
        <v>340</v>
      </c>
      <c r="J27" s="6" t="s">
        <v>341</v>
      </c>
      <c r="K27" s="6" t="s">
        <v>342</v>
      </c>
      <c r="L27" s="29" t="n">
        <v>22</v>
      </c>
      <c r="M27" s="6" t="s">
        <v>343</v>
      </c>
      <c r="N27" s="6" t="s">
        <v>344</v>
      </c>
      <c r="O27" s="6" t="s">
        <v>345</v>
      </c>
      <c r="P27" s="6" t="s">
        <v>346</v>
      </c>
      <c r="Q27" s="6" t="s">
        <v>347</v>
      </c>
      <c r="R27" s="6"/>
      <c r="S27" s="6"/>
      <c r="T27" s="6"/>
      <c r="U27" s="6"/>
      <c r="V27" s="6" t="s">
        <v>348</v>
      </c>
      <c r="W27" s="6"/>
      <c r="X27" s="6"/>
      <c r="Y27" s="6"/>
      <c r="Z27" s="6"/>
      <c r="AA27" s="6"/>
      <c r="AB27" s="6"/>
      <c r="AC27" s="6" t="s">
        <v>331</v>
      </c>
      <c r="AD27" s="30" t="s">
        <v>208</v>
      </c>
      <c r="AE27" s="30" t="s">
        <v>237</v>
      </c>
      <c r="AF27" s="31"/>
      <c r="AG27" s="32"/>
      <c r="AH27" s="31"/>
      <c r="AI27" s="32"/>
      <c r="AJ27" s="33" t="s">
        <v>127</v>
      </c>
      <c r="AK27" s="34"/>
      <c r="AL27" s="34"/>
      <c r="AM27" s="35"/>
      <c r="AN27" s="36" t="str">
        <f aca="false">IF(AD27&lt;&gt;"Y","Out of scope",IF(AF27="","Awaiting response",IF(AND(OR(AF27="Yes",AF27="Partial"),AG27=""),"No detail: treat as unanswered",IF(AND(AF27="Yes",AI27=""),"No evidence link",IF(AND(AJ27="Gap",OR(AL27="",AM27="")),"Gap needs owner and due date","OK")))))</f>
        <v>Awaiting response</v>
      </c>
    </row>
    <row r="28" customFormat="false" ht="79.85" hidden="false" customHeight="false" outlineLevel="0" collapsed="false">
      <c r="A28" s="28" t="s">
        <v>351</v>
      </c>
      <c r="B28" s="6" t="s">
        <v>352</v>
      </c>
      <c r="C28" s="6" t="s">
        <v>353</v>
      </c>
      <c r="D28" s="6" t="s">
        <v>153</v>
      </c>
      <c r="E28" s="29" t="s">
        <v>232</v>
      </c>
      <c r="F28" s="29" t="s">
        <v>31</v>
      </c>
      <c r="G28" s="29" t="s">
        <v>38</v>
      </c>
      <c r="H28" s="6" t="s">
        <v>354</v>
      </c>
      <c r="I28" s="6" t="s">
        <v>355</v>
      </c>
      <c r="J28" s="6" t="s">
        <v>356</v>
      </c>
      <c r="K28" s="6" t="s">
        <v>357</v>
      </c>
      <c r="L28" s="29" t="n">
        <v>28</v>
      </c>
      <c r="M28" s="6" t="s">
        <v>358</v>
      </c>
      <c r="N28" s="6" t="s">
        <v>359</v>
      </c>
      <c r="O28" s="6" t="s">
        <v>224</v>
      </c>
      <c r="P28" s="6" t="s">
        <v>360</v>
      </c>
      <c r="Q28" s="6" t="s">
        <v>226</v>
      </c>
      <c r="R28" s="6"/>
      <c r="S28" s="6"/>
      <c r="T28" s="6"/>
      <c r="U28" s="6"/>
      <c r="V28" s="6" t="s">
        <v>361</v>
      </c>
      <c r="W28" s="6"/>
      <c r="X28" s="6"/>
      <c r="Y28" s="6"/>
      <c r="Z28" s="6"/>
      <c r="AA28" s="6"/>
      <c r="AB28" s="6"/>
      <c r="AC28" s="6"/>
      <c r="AD28" s="30" t="s">
        <v>208</v>
      </c>
      <c r="AE28" s="30" t="s">
        <v>237</v>
      </c>
      <c r="AF28" s="31"/>
      <c r="AG28" s="32"/>
      <c r="AH28" s="31"/>
      <c r="AI28" s="32"/>
      <c r="AJ28" s="33" t="s">
        <v>127</v>
      </c>
      <c r="AK28" s="34"/>
      <c r="AL28" s="34"/>
      <c r="AM28" s="35"/>
      <c r="AN28" s="36" t="str">
        <f aca="false">IF(AD28&lt;&gt;"Y","Out of scope",IF(AF28="","Awaiting response",IF(AND(OR(AF28="Yes",AF28="Partial"),AG28=""),"No detail: treat as unanswered",IF(AND(AF28="Yes",AI28=""),"No evidence link",IF(AND(AJ28="Gap",OR(AL28="",AM28="")),"Gap needs owner and due date","OK")))))</f>
        <v>Awaiting response</v>
      </c>
    </row>
    <row r="29" customFormat="false" ht="79.85" hidden="false" customHeight="false" outlineLevel="0" collapsed="false">
      <c r="A29" s="28" t="s">
        <v>362</v>
      </c>
      <c r="B29" s="6" t="s">
        <v>352</v>
      </c>
      <c r="C29" s="6" t="s">
        <v>353</v>
      </c>
      <c r="D29" s="6" t="s">
        <v>153</v>
      </c>
      <c r="E29" s="29" t="s">
        <v>232</v>
      </c>
      <c r="F29" s="29" t="s">
        <v>31</v>
      </c>
      <c r="G29" s="29" t="s">
        <v>38</v>
      </c>
      <c r="H29" s="6" t="s">
        <v>363</v>
      </c>
      <c r="I29" s="6" t="s">
        <v>355</v>
      </c>
      <c r="J29" s="6" t="s">
        <v>356</v>
      </c>
      <c r="K29" s="6" t="s">
        <v>357</v>
      </c>
      <c r="L29" s="29" t="n">
        <v>28</v>
      </c>
      <c r="M29" s="6" t="s">
        <v>358</v>
      </c>
      <c r="N29" s="6" t="s">
        <v>359</v>
      </c>
      <c r="O29" s="6" t="s">
        <v>224</v>
      </c>
      <c r="P29" s="6" t="s">
        <v>360</v>
      </c>
      <c r="Q29" s="6" t="s">
        <v>226</v>
      </c>
      <c r="R29" s="6"/>
      <c r="S29" s="6"/>
      <c r="T29" s="6"/>
      <c r="U29" s="6"/>
      <c r="V29" s="6" t="s">
        <v>361</v>
      </c>
      <c r="W29" s="6"/>
      <c r="X29" s="6"/>
      <c r="Y29" s="6"/>
      <c r="Z29" s="6"/>
      <c r="AA29" s="6"/>
      <c r="AB29" s="6"/>
      <c r="AC29" s="6"/>
      <c r="AD29" s="30" t="s">
        <v>208</v>
      </c>
      <c r="AE29" s="30" t="s">
        <v>237</v>
      </c>
      <c r="AF29" s="31"/>
      <c r="AG29" s="32"/>
      <c r="AH29" s="31"/>
      <c r="AI29" s="32"/>
      <c r="AJ29" s="33" t="s">
        <v>127</v>
      </c>
      <c r="AK29" s="34"/>
      <c r="AL29" s="34"/>
      <c r="AM29" s="35"/>
      <c r="AN29" s="36" t="str">
        <f aca="false">IF(AD29&lt;&gt;"Y","Out of scope",IF(AF29="","Awaiting response",IF(AND(OR(AF29="Yes",AF29="Partial"),AG29=""),"No detail: treat as unanswered",IF(AND(AF29="Yes",AI29=""),"No evidence link",IF(AND(AJ29="Gap",OR(AL29="",AM29="")),"Gap needs owner and due date","OK")))))</f>
        <v>Awaiting response</v>
      </c>
    </row>
    <row r="30" customFormat="false" ht="147" hidden="false" customHeight="false" outlineLevel="0" collapsed="false">
      <c r="A30" s="28" t="s">
        <v>364</v>
      </c>
      <c r="B30" s="6" t="s">
        <v>365</v>
      </c>
      <c r="C30" s="6" t="s">
        <v>366</v>
      </c>
      <c r="D30" s="6" t="s">
        <v>154</v>
      </c>
      <c r="E30" s="29" t="s">
        <v>197</v>
      </c>
      <c r="F30" s="29" t="s">
        <v>27</v>
      </c>
      <c r="G30" s="29" t="s">
        <v>38</v>
      </c>
      <c r="H30" s="6" t="s">
        <v>367</v>
      </c>
      <c r="I30" s="6" t="s">
        <v>368</v>
      </c>
      <c r="J30" s="6" t="s">
        <v>369</v>
      </c>
      <c r="K30" s="6" t="s">
        <v>370</v>
      </c>
      <c r="L30" s="29" t="n">
        <v>19</v>
      </c>
      <c r="M30" s="6" t="s">
        <v>371</v>
      </c>
      <c r="N30" s="6" t="s">
        <v>372</v>
      </c>
      <c r="O30" s="6" t="s">
        <v>373</v>
      </c>
      <c r="P30" s="6" t="s">
        <v>374</v>
      </c>
      <c r="Q30" s="6" t="s">
        <v>375</v>
      </c>
      <c r="R30" s="6" t="s">
        <v>376</v>
      </c>
      <c r="S30" s="6" t="s">
        <v>377</v>
      </c>
      <c r="T30" s="6" t="s">
        <v>378</v>
      </c>
      <c r="U30" s="6" t="s">
        <v>379</v>
      </c>
      <c r="V30" s="6" t="s">
        <v>380</v>
      </c>
      <c r="W30" s="6"/>
      <c r="X30" s="6" t="s">
        <v>381</v>
      </c>
      <c r="Y30" s="6" t="s">
        <v>382</v>
      </c>
      <c r="Z30" s="6" t="s">
        <v>383</v>
      </c>
      <c r="AA30" s="6"/>
      <c r="AB30" s="6"/>
      <c r="AC30" s="6" t="s">
        <v>384</v>
      </c>
      <c r="AD30" s="30" t="s">
        <v>208</v>
      </c>
      <c r="AE30" s="30" t="s">
        <v>208</v>
      </c>
      <c r="AF30" s="31"/>
      <c r="AG30" s="32"/>
      <c r="AH30" s="31"/>
      <c r="AI30" s="32"/>
      <c r="AJ30" s="33" t="s">
        <v>127</v>
      </c>
      <c r="AK30" s="34"/>
      <c r="AL30" s="34"/>
      <c r="AM30" s="35"/>
      <c r="AN30" s="36" t="str">
        <f aca="false">IF(AD30&lt;&gt;"Y","Out of scope",IF(AF30="","Awaiting response",IF(AND(OR(AF30="Yes",AF30="Partial"),AG30=""),"No detail: treat as unanswered",IF(AND(AF30="Yes",AI30=""),"No evidence link",IF(AND(AJ30="Gap",OR(AL30="",AM30="")),"Gap needs owner and due date","OK")))))</f>
        <v>Awaiting response</v>
      </c>
    </row>
    <row r="31" customFormat="false" ht="147" hidden="false" customHeight="false" outlineLevel="0" collapsed="false">
      <c r="A31" s="28" t="s">
        <v>385</v>
      </c>
      <c r="B31" s="6" t="s">
        <v>365</v>
      </c>
      <c r="C31" s="6" t="s">
        <v>366</v>
      </c>
      <c r="D31" s="6" t="s">
        <v>154</v>
      </c>
      <c r="E31" s="29" t="s">
        <v>197</v>
      </c>
      <c r="F31" s="29" t="s">
        <v>27</v>
      </c>
      <c r="G31" s="29" t="s">
        <v>38</v>
      </c>
      <c r="H31" s="6" t="s">
        <v>386</v>
      </c>
      <c r="I31" s="6" t="s">
        <v>368</v>
      </c>
      <c r="J31" s="6" t="s">
        <v>369</v>
      </c>
      <c r="K31" s="6" t="s">
        <v>370</v>
      </c>
      <c r="L31" s="29" t="n">
        <v>19</v>
      </c>
      <c r="M31" s="6" t="s">
        <v>371</v>
      </c>
      <c r="N31" s="6" t="s">
        <v>372</v>
      </c>
      <c r="O31" s="6" t="s">
        <v>373</v>
      </c>
      <c r="P31" s="6" t="s">
        <v>374</v>
      </c>
      <c r="Q31" s="6" t="s">
        <v>375</v>
      </c>
      <c r="R31" s="6" t="s">
        <v>376</v>
      </c>
      <c r="S31" s="6" t="s">
        <v>377</v>
      </c>
      <c r="T31" s="6" t="s">
        <v>378</v>
      </c>
      <c r="U31" s="6" t="s">
        <v>379</v>
      </c>
      <c r="V31" s="6" t="s">
        <v>380</v>
      </c>
      <c r="W31" s="6"/>
      <c r="X31" s="6" t="s">
        <v>381</v>
      </c>
      <c r="Y31" s="6" t="s">
        <v>382</v>
      </c>
      <c r="Z31" s="6" t="s">
        <v>383</v>
      </c>
      <c r="AA31" s="6"/>
      <c r="AB31" s="6"/>
      <c r="AC31" s="6" t="s">
        <v>384</v>
      </c>
      <c r="AD31" s="30" t="s">
        <v>208</v>
      </c>
      <c r="AE31" s="30" t="s">
        <v>208</v>
      </c>
      <c r="AF31" s="31"/>
      <c r="AG31" s="32"/>
      <c r="AH31" s="31"/>
      <c r="AI31" s="32"/>
      <c r="AJ31" s="33" t="s">
        <v>127</v>
      </c>
      <c r="AK31" s="34"/>
      <c r="AL31" s="34"/>
      <c r="AM31" s="35"/>
      <c r="AN31" s="36" t="str">
        <f aca="false">IF(AD31&lt;&gt;"Y","Out of scope",IF(AF31="","Awaiting response",IF(AND(OR(AF31="Yes",AF31="Partial"),AG31=""),"No detail: treat as unanswered",IF(AND(AF31="Yes",AI31=""),"No evidence link",IF(AND(AJ31="Gap",OR(AL31="",AM31="")),"Gap needs owner and due date","OK")))))</f>
        <v>Awaiting response</v>
      </c>
    </row>
    <row r="32" customFormat="false" ht="147" hidden="false" customHeight="false" outlineLevel="0" collapsed="false">
      <c r="A32" s="28" t="s">
        <v>387</v>
      </c>
      <c r="B32" s="6" t="s">
        <v>365</v>
      </c>
      <c r="C32" s="6" t="s">
        <v>366</v>
      </c>
      <c r="D32" s="6" t="s">
        <v>154</v>
      </c>
      <c r="E32" s="29" t="s">
        <v>197</v>
      </c>
      <c r="F32" s="29" t="s">
        <v>27</v>
      </c>
      <c r="G32" s="29" t="s">
        <v>38</v>
      </c>
      <c r="H32" s="6" t="s">
        <v>388</v>
      </c>
      <c r="I32" s="6" t="s">
        <v>368</v>
      </c>
      <c r="J32" s="6" t="s">
        <v>369</v>
      </c>
      <c r="K32" s="6" t="s">
        <v>370</v>
      </c>
      <c r="L32" s="29" t="n">
        <v>19</v>
      </c>
      <c r="M32" s="6" t="s">
        <v>371</v>
      </c>
      <c r="N32" s="6" t="s">
        <v>372</v>
      </c>
      <c r="O32" s="6" t="s">
        <v>373</v>
      </c>
      <c r="P32" s="6" t="s">
        <v>374</v>
      </c>
      <c r="Q32" s="6" t="s">
        <v>375</v>
      </c>
      <c r="R32" s="6" t="s">
        <v>376</v>
      </c>
      <c r="S32" s="6" t="s">
        <v>377</v>
      </c>
      <c r="T32" s="6" t="s">
        <v>378</v>
      </c>
      <c r="U32" s="6" t="s">
        <v>379</v>
      </c>
      <c r="V32" s="6" t="s">
        <v>380</v>
      </c>
      <c r="W32" s="6"/>
      <c r="X32" s="6" t="s">
        <v>381</v>
      </c>
      <c r="Y32" s="6" t="s">
        <v>382</v>
      </c>
      <c r="Z32" s="6" t="s">
        <v>383</v>
      </c>
      <c r="AA32" s="6"/>
      <c r="AB32" s="6"/>
      <c r="AC32" s="6" t="s">
        <v>384</v>
      </c>
      <c r="AD32" s="30" t="s">
        <v>208</v>
      </c>
      <c r="AE32" s="30" t="s">
        <v>208</v>
      </c>
      <c r="AF32" s="31"/>
      <c r="AG32" s="32"/>
      <c r="AH32" s="31"/>
      <c r="AI32" s="32"/>
      <c r="AJ32" s="33" t="s">
        <v>127</v>
      </c>
      <c r="AK32" s="34"/>
      <c r="AL32" s="34"/>
      <c r="AM32" s="35"/>
      <c r="AN32" s="36" t="str">
        <f aca="false">IF(AD32&lt;&gt;"Y","Out of scope",IF(AF32="","Awaiting response",IF(AND(OR(AF32="Yes",AF32="Partial"),AG32=""),"No detail: treat as unanswered",IF(AND(AF32="Yes",AI32=""),"No evidence link",IF(AND(AJ32="Gap",OR(AL32="",AM32="")),"Gap needs owner and due date","OK")))))</f>
        <v>Awaiting response</v>
      </c>
    </row>
    <row r="33" customFormat="false" ht="147" hidden="false" customHeight="false" outlineLevel="0" collapsed="false">
      <c r="A33" s="28" t="s">
        <v>389</v>
      </c>
      <c r="B33" s="6" t="s">
        <v>365</v>
      </c>
      <c r="C33" s="6" t="s">
        <v>366</v>
      </c>
      <c r="D33" s="6" t="s">
        <v>154</v>
      </c>
      <c r="E33" s="29" t="s">
        <v>197</v>
      </c>
      <c r="F33" s="29" t="s">
        <v>27</v>
      </c>
      <c r="G33" s="29" t="s">
        <v>38</v>
      </c>
      <c r="H33" s="6" t="s">
        <v>390</v>
      </c>
      <c r="I33" s="6" t="s">
        <v>368</v>
      </c>
      <c r="J33" s="6" t="s">
        <v>369</v>
      </c>
      <c r="K33" s="6" t="s">
        <v>370</v>
      </c>
      <c r="L33" s="29" t="n">
        <v>19</v>
      </c>
      <c r="M33" s="6" t="s">
        <v>371</v>
      </c>
      <c r="N33" s="6" t="s">
        <v>372</v>
      </c>
      <c r="O33" s="6" t="s">
        <v>373</v>
      </c>
      <c r="P33" s="6" t="s">
        <v>374</v>
      </c>
      <c r="Q33" s="6" t="s">
        <v>375</v>
      </c>
      <c r="R33" s="6" t="s">
        <v>376</v>
      </c>
      <c r="S33" s="6" t="s">
        <v>377</v>
      </c>
      <c r="T33" s="6" t="s">
        <v>378</v>
      </c>
      <c r="U33" s="6" t="s">
        <v>379</v>
      </c>
      <c r="V33" s="6" t="s">
        <v>380</v>
      </c>
      <c r="W33" s="6"/>
      <c r="X33" s="6" t="s">
        <v>381</v>
      </c>
      <c r="Y33" s="6" t="s">
        <v>382</v>
      </c>
      <c r="Z33" s="6" t="s">
        <v>383</v>
      </c>
      <c r="AA33" s="6"/>
      <c r="AB33" s="6"/>
      <c r="AC33" s="6" t="s">
        <v>384</v>
      </c>
      <c r="AD33" s="30" t="s">
        <v>208</v>
      </c>
      <c r="AE33" s="30" t="s">
        <v>208</v>
      </c>
      <c r="AF33" s="31"/>
      <c r="AG33" s="32"/>
      <c r="AH33" s="31"/>
      <c r="AI33" s="32"/>
      <c r="AJ33" s="33" t="s">
        <v>127</v>
      </c>
      <c r="AK33" s="34"/>
      <c r="AL33" s="34"/>
      <c r="AM33" s="35"/>
      <c r="AN33" s="36" t="str">
        <f aca="false">IF(AD33&lt;&gt;"Y","Out of scope",IF(AF33="","Awaiting response",IF(AND(OR(AF33="Yes",AF33="Partial"),AG33=""),"No detail: treat as unanswered",IF(AND(AF33="Yes",AI33=""),"No evidence link",IF(AND(AJ33="Gap",OR(AL33="",AM33="")),"Gap needs owner and due date","OK")))))</f>
        <v>Awaiting response</v>
      </c>
    </row>
    <row r="34" customFormat="false" ht="124.6" hidden="false" customHeight="false" outlineLevel="0" collapsed="false">
      <c r="A34" s="28" t="s">
        <v>391</v>
      </c>
      <c r="B34" s="6" t="s">
        <v>392</v>
      </c>
      <c r="C34" s="6" t="s">
        <v>393</v>
      </c>
      <c r="D34" s="6" t="s">
        <v>154</v>
      </c>
      <c r="E34" s="29" t="s">
        <v>197</v>
      </c>
      <c r="F34" s="29" t="s">
        <v>27</v>
      </c>
      <c r="G34" s="29" t="s">
        <v>38</v>
      </c>
      <c r="H34" s="6" t="s">
        <v>394</v>
      </c>
      <c r="I34" s="6" t="s">
        <v>395</v>
      </c>
      <c r="J34" s="6" t="s">
        <v>396</v>
      </c>
      <c r="K34" s="6" t="s">
        <v>397</v>
      </c>
      <c r="L34" s="29" t="n">
        <v>8</v>
      </c>
      <c r="M34" s="6" t="s">
        <v>398</v>
      </c>
      <c r="N34" s="6" t="s">
        <v>399</v>
      </c>
      <c r="O34" s="6" t="s">
        <v>400</v>
      </c>
      <c r="P34" s="6" t="s">
        <v>401</v>
      </c>
      <c r="Q34" s="6" t="s">
        <v>402</v>
      </c>
      <c r="R34" s="6" t="s">
        <v>403</v>
      </c>
      <c r="S34" s="6" t="s">
        <v>404</v>
      </c>
      <c r="T34" s="6" t="s">
        <v>405</v>
      </c>
      <c r="U34" s="6" t="s">
        <v>406</v>
      </c>
      <c r="V34" s="6" t="s">
        <v>407</v>
      </c>
      <c r="W34" s="6" t="s">
        <v>408</v>
      </c>
      <c r="X34" s="6" t="s">
        <v>409</v>
      </c>
      <c r="Y34" s="6" t="s">
        <v>410</v>
      </c>
      <c r="Z34" s="6" t="s">
        <v>411</v>
      </c>
      <c r="AA34" s="6" t="s">
        <v>412</v>
      </c>
      <c r="AB34" s="6" t="s">
        <v>413</v>
      </c>
      <c r="AC34" s="6" t="s">
        <v>414</v>
      </c>
      <c r="AD34" s="30" t="s">
        <v>208</v>
      </c>
      <c r="AE34" s="30" t="s">
        <v>208</v>
      </c>
      <c r="AF34" s="31"/>
      <c r="AG34" s="32"/>
      <c r="AH34" s="31"/>
      <c r="AI34" s="32"/>
      <c r="AJ34" s="33" t="s">
        <v>127</v>
      </c>
      <c r="AK34" s="34"/>
      <c r="AL34" s="34"/>
      <c r="AM34" s="35"/>
      <c r="AN34" s="36" t="str">
        <f aca="false">IF(AD34&lt;&gt;"Y","Out of scope",IF(AF34="","Awaiting response",IF(AND(OR(AF34="Yes",AF34="Partial"),AG34=""),"No detail: treat as unanswered",IF(AND(AF34="Yes",AI34=""),"No evidence link",IF(AND(AJ34="Gap",OR(AL34="",AM34="")),"Gap needs owner and due date","OK")))))</f>
        <v>Awaiting response</v>
      </c>
    </row>
    <row r="35" customFormat="false" ht="124.6" hidden="false" customHeight="false" outlineLevel="0" collapsed="false">
      <c r="A35" s="28" t="s">
        <v>415</v>
      </c>
      <c r="B35" s="6" t="s">
        <v>392</v>
      </c>
      <c r="C35" s="6" t="s">
        <v>393</v>
      </c>
      <c r="D35" s="6" t="s">
        <v>154</v>
      </c>
      <c r="E35" s="29" t="s">
        <v>197</v>
      </c>
      <c r="F35" s="29" t="s">
        <v>27</v>
      </c>
      <c r="G35" s="29" t="s">
        <v>38</v>
      </c>
      <c r="H35" s="6" t="s">
        <v>416</v>
      </c>
      <c r="I35" s="6" t="s">
        <v>395</v>
      </c>
      <c r="J35" s="6" t="s">
        <v>396</v>
      </c>
      <c r="K35" s="6" t="s">
        <v>397</v>
      </c>
      <c r="L35" s="29" t="n">
        <v>8</v>
      </c>
      <c r="M35" s="6" t="s">
        <v>398</v>
      </c>
      <c r="N35" s="6" t="s">
        <v>399</v>
      </c>
      <c r="O35" s="6" t="s">
        <v>400</v>
      </c>
      <c r="P35" s="6" t="s">
        <v>401</v>
      </c>
      <c r="Q35" s="6" t="s">
        <v>402</v>
      </c>
      <c r="R35" s="6" t="s">
        <v>403</v>
      </c>
      <c r="S35" s="6" t="s">
        <v>404</v>
      </c>
      <c r="T35" s="6" t="s">
        <v>405</v>
      </c>
      <c r="U35" s="6" t="s">
        <v>406</v>
      </c>
      <c r="V35" s="6" t="s">
        <v>407</v>
      </c>
      <c r="W35" s="6" t="s">
        <v>408</v>
      </c>
      <c r="X35" s="6" t="s">
        <v>409</v>
      </c>
      <c r="Y35" s="6" t="s">
        <v>410</v>
      </c>
      <c r="Z35" s="6" t="s">
        <v>411</v>
      </c>
      <c r="AA35" s="6" t="s">
        <v>412</v>
      </c>
      <c r="AB35" s="6" t="s">
        <v>413</v>
      </c>
      <c r="AC35" s="6" t="s">
        <v>414</v>
      </c>
      <c r="AD35" s="30" t="s">
        <v>208</v>
      </c>
      <c r="AE35" s="30" t="s">
        <v>208</v>
      </c>
      <c r="AF35" s="31"/>
      <c r="AG35" s="32"/>
      <c r="AH35" s="31"/>
      <c r="AI35" s="32"/>
      <c r="AJ35" s="33" t="s">
        <v>127</v>
      </c>
      <c r="AK35" s="34"/>
      <c r="AL35" s="34"/>
      <c r="AM35" s="35"/>
      <c r="AN35" s="36" t="str">
        <f aca="false">IF(AD35&lt;&gt;"Y","Out of scope",IF(AF35="","Awaiting response",IF(AND(OR(AF35="Yes",AF35="Partial"),AG35=""),"No detail: treat as unanswered",IF(AND(AF35="Yes",AI35=""),"No evidence link",IF(AND(AJ35="Gap",OR(AL35="",AM35="")),"Gap needs owner and due date","OK")))))</f>
        <v>Awaiting response</v>
      </c>
    </row>
    <row r="36" customFormat="false" ht="124.6" hidden="false" customHeight="false" outlineLevel="0" collapsed="false">
      <c r="A36" s="28" t="s">
        <v>417</v>
      </c>
      <c r="B36" s="6" t="s">
        <v>392</v>
      </c>
      <c r="C36" s="6" t="s">
        <v>393</v>
      </c>
      <c r="D36" s="6" t="s">
        <v>154</v>
      </c>
      <c r="E36" s="29" t="s">
        <v>197</v>
      </c>
      <c r="F36" s="29" t="s">
        <v>27</v>
      </c>
      <c r="G36" s="29" t="s">
        <v>38</v>
      </c>
      <c r="H36" s="6" t="s">
        <v>418</v>
      </c>
      <c r="I36" s="6" t="s">
        <v>395</v>
      </c>
      <c r="J36" s="6" t="s">
        <v>396</v>
      </c>
      <c r="K36" s="6" t="s">
        <v>397</v>
      </c>
      <c r="L36" s="29" t="n">
        <v>8</v>
      </c>
      <c r="M36" s="6" t="s">
        <v>398</v>
      </c>
      <c r="N36" s="6" t="s">
        <v>399</v>
      </c>
      <c r="O36" s="6" t="s">
        <v>400</v>
      </c>
      <c r="P36" s="6" t="s">
        <v>401</v>
      </c>
      <c r="Q36" s="6" t="s">
        <v>402</v>
      </c>
      <c r="R36" s="6" t="s">
        <v>403</v>
      </c>
      <c r="S36" s="6" t="s">
        <v>404</v>
      </c>
      <c r="T36" s="6" t="s">
        <v>405</v>
      </c>
      <c r="U36" s="6" t="s">
        <v>406</v>
      </c>
      <c r="V36" s="6" t="s">
        <v>407</v>
      </c>
      <c r="W36" s="6" t="s">
        <v>408</v>
      </c>
      <c r="X36" s="6" t="s">
        <v>409</v>
      </c>
      <c r="Y36" s="6" t="s">
        <v>410</v>
      </c>
      <c r="Z36" s="6" t="s">
        <v>411</v>
      </c>
      <c r="AA36" s="6" t="s">
        <v>412</v>
      </c>
      <c r="AB36" s="6" t="s">
        <v>413</v>
      </c>
      <c r="AC36" s="6" t="s">
        <v>414</v>
      </c>
      <c r="AD36" s="30" t="s">
        <v>208</v>
      </c>
      <c r="AE36" s="30" t="s">
        <v>208</v>
      </c>
      <c r="AF36" s="31"/>
      <c r="AG36" s="32"/>
      <c r="AH36" s="31"/>
      <c r="AI36" s="32"/>
      <c r="AJ36" s="33" t="s">
        <v>127</v>
      </c>
      <c r="AK36" s="34"/>
      <c r="AL36" s="34"/>
      <c r="AM36" s="35"/>
      <c r="AN36" s="36" t="str">
        <f aca="false">IF(AD36&lt;&gt;"Y","Out of scope",IF(AF36="","Awaiting response",IF(AND(OR(AF36="Yes",AF36="Partial"),AG36=""),"No detail: treat as unanswered",IF(AND(AF36="Yes",AI36=""),"No evidence link",IF(AND(AJ36="Gap",OR(AL36="",AM36="")),"Gap needs owner and due date","OK")))))</f>
        <v>Awaiting response</v>
      </c>
    </row>
    <row r="37" customFormat="false" ht="124.6" hidden="false" customHeight="false" outlineLevel="0" collapsed="false">
      <c r="A37" s="28" t="s">
        <v>419</v>
      </c>
      <c r="B37" s="6" t="s">
        <v>392</v>
      </c>
      <c r="C37" s="6" t="s">
        <v>393</v>
      </c>
      <c r="D37" s="6" t="s">
        <v>154</v>
      </c>
      <c r="E37" s="29" t="s">
        <v>197</v>
      </c>
      <c r="F37" s="29" t="s">
        <v>27</v>
      </c>
      <c r="G37" s="29" t="s">
        <v>38</v>
      </c>
      <c r="H37" s="6" t="s">
        <v>420</v>
      </c>
      <c r="I37" s="6" t="s">
        <v>395</v>
      </c>
      <c r="J37" s="6" t="s">
        <v>396</v>
      </c>
      <c r="K37" s="6" t="s">
        <v>397</v>
      </c>
      <c r="L37" s="29" t="n">
        <v>8</v>
      </c>
      <c r="M37" s="6" t="s">
        <v>398</v>
      </c>
      <c r="N37" s="6" t="s">
        <v>399</v>
      </c>
      <c r="O37" s="6" t="s">
        <v>400</v>
      </c>
      <c r="P37" s="6" t="s">
        <v>401</v>
      </c>
      <c r="Q37" s="6" t="s">
        <v>402</v>
      </c>
      <c r="R37" s="6" t="s">
        <v>403</v>
      </c>
      <c r="S37" s="6" t="s">
        <v>404</v>
      </c>
      <c r="T37" s="6" t="s">
        <v>405</v>
      </c>
      <c r="U37" s="6" t="s">
        <v>406</v>
      </c>
      <c r="V37" s="6" t="s">
        <v>407</v>
      </c>
      <c r="W37" s="6" t="s">
        <v>408</v>
      </c>
      <c r="X37" s="6" t="s">
        <v>409</v>
      </c>
      <c r="Y37" s="6" t="s">
        <v>410</v>
      </c>
      <c r="Z37" s="6" t="s">
        <v>411</v>
      </c>
      <c r="AA37" s="6" t="s">
        <v>412</v>
      </c>
      <c r="AB37" s="6" t="s">
        <v>413</v>
      </c>
      <c r="AC37" s="6" t="s">
        <v>414</v>
      </c>
      <c r="AD37" s="30" t="s">
        <v>208</v>
      </c>
      <c r="AE37" s="30" t="s">
        <v>208</v>
      </c>
      <c r="AF37" s="31"/>
      <c r="AG37" s="32"/>
      <c r="AH37" s="31"/>
      <c r="AI37" s="32"/>
      <c r="AJ37" s="33" t="s">
        <v>127</v>
      </c>
      <c r="AK37" s="34"/>
      <c r="AL37" s="34"/>
      <c r="AM37" s="35"/>
      <c r="AN37" s="36" t="str">
        <f aca="false">IF(AD37&lt;&gt;"Y","Out of scope",IF(AF37="","Awaiting response",IF(AND(OR(AF37="Yes",AF37="Partial"),AG37=""),"No detail: treat as unanswered",IF(AND(AF37="Yes",AI37=""),"No evidence link",IF(AND(AJ37="Gap",OR(AL37="",AM37="")),"Gap needs owner and due date","OK")))))</f>
        <v>Awaiting response</v>
      </c>
    </row>
    <row r="38" customFormat="false" ht="124.6" hidden="false" customHeight="false" outlineLevel="0" collapsed="false">
      <c r="A38" s="28" t="s">
        <v>421</v>
      </c>
      <c r="B38" s="6" t="s">
        <v>392</v>
      </c>
      <c r="C38" s="6" t="s">
        <v>393</v>
      </c>
      <c r="D38" s="6" t="s">
        <v>154</v>
      </c>
      <c r="E38" s="29" t="s">
        <v>197</v>
      </c>
      <c r="F38" s="29" t="s">
        <v>27</v>
      </c>
      <c r="G38" s="29" t="s">
        <v>38</v>
      </c>
      <c r="H38" s="6" t="s">
        <v>422</v>
      </c>
      <c r="I38" s="6" t="s">
        <v>395</v>
      </c>
      <c r="J38" s="6" t="s">
        <v>396</v>
      </c>
      <c r="K38" s="6" t="s">
        <v>397</v>
      </c>
      <c r="L38" s="29" t="n">
        <v>8</v>
      </c>
      <c r="M38" s="6" t="s">
        <v>398</v>
      </c>
      <c r="N38" s="6" t="s">
        <v>399</v>
      </c>
      <c r="O38" s="6" t="s">
        <v>400</v>
      </c>
      <c r="P38" s="6" t="s">
        <v>401</v>
      </c>
      <c r="Q38" s="6" t="s">
        <v>402</v>
      </c>
      <c r="R38" s="6" t="s">
        <v>403</v>
      </c>
      <c r="S38" s="6" t="s">
        <v>404</v>
      </c>
      <c r="T38" s="6" t="s">
        <v>405</v>
      </c>
      <c r="U38" s="6" t="s">
        <v>406</v>
      </c>
      <c r="V38" s="6" t="s">
        <v>407</v>
      </c>
      <c r="W38" s="6" t="s">
        <v>408</v>
      </c>
      <c r="X38" s="6" t="s">
        <v>409</v>
      </c>
      <c r="Y38" s="6" t="s">
        <v>410</v>
      </c>
      <c r="Z38" s="6" t="s">
        <v>411</v>
      </c>
      <c r="AA38" s="6" t="s">
        <v>412</v>
      </c>
      <c r="AB38" s="6" t="s">
        <v>413</v>
      </c>
      <c r="AC38" s="6" t="s">
        <v>414</v>
      </c>
      <c r="AD38" s="30" t="s">
        <v>208</v>
      </c>
      <c r="AE38" s="30" t="s">
        <v>208</v>
      </c>
      <c r="AF38" s="31"/>
      <c r="AG38" s="32"/>
      <c r="AH38" s="31"/>
      <c r="AI38" s="32"/>
      <c r="AJ38" s="33" t="s">
        <v>127</v>
      </c>
      <c r="AK38" s="34"/>
      <c r="AL38" s="34"/>
      <c r="AM38" s="35"/>
      <c r="AN38" s="36" t="str">
        <f aca="false">IF(AD38&lt;&gt;"Y","Out of scope",IF(AF38="","Awaiting response",IF(AND(OR(AF38="Yes",AF38="Partial"),AG38=""),"No detail: treat as unanswered",IF(AND(AF38="Yes",AI38=""),"No evidence link",IF(AND(AJ38="Gap",OR(AL38="",AM38="")),"Gap needs owner and due date","OK")))))</f>
        <v>Awaiting response</v>
      </c>
    </row>
    <row r="39" customFormat="false" ht="124.6" hidden="false" customHeight="false" outlineLevel="0" collapsed="false">
      <c r="A39" s="28" t="s">
        <v>423</v>
      </c>
      <c r="B39" s="6" t="s">
        <v>392</v>
      </c>
      <c r="C39" s="6" t="s">
        <v>393</v>
      </c>
      <c r="D39" s="6" t="s">
        <v>154</v>
      </c>
      <c r="E39" s="29" t="s">
        <v>197</v>
      </c>
      <c r="F39" s="29" t="s">
        <v>27</v>
      </c>
      <c r="G39" s="29" t="s">
        <v>38</v>
      </c>
      <c r="H39" s="6" t="s">
        <v>424</v>
      </c>
      <c r="I39" s="6" t="s">
        <v>395</v>
      </c>
      <c r="J39" s="6" t="s">
        <v>396</v>
      </c>
      <c r="K39" s="6" t="s">
        <v>397</v>
      </c>
      <c r="L39" s="29" t="n">
        <v>8</v>
      </c>
      <c r="M39" s="6" t="s">
        <v>398</v>
      </c>
      <c r="N39" s="6" t="s">
        <v>399</v>
      </c>
      <c r="O39" s="6" t="s">
        <v>400</v>
      </c>
      <c r="P39" s="6" t="s">
        <v>401</v>
      </c>
      <c r="Q39" s="6" t="s">
        <v>402</v>
      </c>
      <c r="R39" s="6" t="s">
        <v>403</v>
      </c>
      <c r="S39" s="6" t="s">
        <v>404</v>
      </c>
      <c r="T39" s="6" t="s">
        <v>405</v>
      </c>
      <c r="U39" s="6" t="s">
        <v>406</v>
      </c>
      <c r="V39" s="6" t="s">
        <v>407</v>
      </c>
      <c r="W39" s="6" t="s">
        <v>408</v>
      </c>
      <c r="X39" s="6" t="s">
        <v>409</v>
      </c>
      <c r="Y39" s="6" t="s">
        <v>410</v>
      </c>
      <c r="Z39" s="6" t="s">
        <v>411</v>
      </c>
      <c r="AA39" s="6" t="s">
        <v>412</v>
      </c>
      <c r="AB39" s="6" t="s">
        <v>413</v>
      </c>
      <c r="AC39" s="6" t="s">
        <v>414</v>
      </c>
      <c r="AD39" s="30" t="s">
        <v>208</v>
      </c>
      <c r="AE39" s="30" t="s">
        <v>208</v>
      </c>
      <c r="AF39" s="31"/>
      <c r="AG39" s="32"/>
      <c r="AH39" s="31"/>
      <c r="AI39" s="32"/>
      <c r="AJ39" s="33" t="s">
        <v>127</v>
      </c>
      <c r="AK39" s="34"/>
      <c r="AL39" s="34"/>
      <c r="AM39" s="35"/>
      <c r="AN39" s="36" t="str">
        <f aca="false">IF(AD39&lt;&gt;"Y","Out of scope",IF(AF39="","Awaiting response",IF(AND(OR(AF39="Yes",AF39="Partial"),AG39=""),"No detail: treat as unanswered",IF(AND(AF39="Yes",AI39=""),"No evidence link",IF(AND(AJ39="Gap",OR(AL39="",AM39="")),"Gap needs owner and due date","OK")))))</f>
        <v>Awaiting response</v>
      </c>
    </row>
    <row r="40" customFormat="false" ht="124.6" hidden="false" customHeight="false" outlineLevel="0" collapsed="false">
      <c r="A40" s="28" t="s">
        <v>425</v>
      </c>
      <c r="B40" s="6" t="s">
        <v>392</v>
      </c>
      <c r="C40" s="6" t="s">
        <v>393</v>
      </c>
      <c r="D40" s="6" t="s">
        <v>154</v>
      </c>
      <c r="E40" s="29" t="s">
        <v>197</v>
      </c>
      <c r="F40" s="29" t="s">
        <v>27</v>
      </c>
      <c r="G40" s="29" t="s">
        <v>38</v>
      </c>
      <c r="H40" s="6" t="s">
        <v>426</v>
      </c>
      <c r="I40" s="6" t="s">
        <v>395</v>
      </c>
      <c r="J40" s="6" t="s">
        <v>396</v>
      </c>
      <c r="K40" s="6" t="s">
        <v>397</v>
      </c>
      <c r="L40" s="29" t="n">
        <v>8</v>
      </c>
      <c r="M40" s="6" t="s">
        <v>398</v>
      </c>
      <c r="N40" s="6" t="s">
        <v>399</v>
      </c>
      <c r="O40" s="6" t="s">
        <v>400</v>
      </c>
      <c r="P40" s="6" t="s">
        <v>401</v>
      </c>
      <c r="Q40" s="6" t="s">
        <v>402</v>
      </c>
      <c r="R40" s="6" t="s">
        <v>403</v>
      </c>
      <c r="S40" s="6" t="s">
        <v>404</v>
      </c>
      <c r="T40" s="6" t="s">
        <v>405</v>
      </c>
      <c r="U40" s="6" t="s">
        <v>406</v>
      </c>
      <c r="V40" s="6" t="s">
        <v>407</v>
      </c>
      <c r="W40" s="6" t="s">
        <v>408</v>
      </c>
      <c r="X40" s="6" t="s">
        <v>409</v>
      </c>
      <c r="Y40" s="6" t="s">
        <v>410</v>
      </c>
      <c r="Z40" s="6" t="s">
        <v>411</v>
      </c>
      <c r="AA40" s="6" t="s">
        <v>412</v>
      </c>
      <c r="AB40" s="6" t="s">
        <v>413</v>
      </c>
      <c r="AC40" s="6" t="s">
        <v>414</v>
      </c>
      <c r="AD40" s="30" t="s">
        <v>208</v>
      </c>
      <c r="AE40" s="30" t="s">
        <v>208</v>
      </c>
      <c r="AF40" s="31"/>
      <c r="AG40" s="32"/>
      <c r="AH40" s="31"/>
      <c r="AI40" s="32"/>
      <c r="AJ40" s="33" t="s">
        <v>127</v>
      </c>
      <c r="AK40" s="34"/>
      <c r="AL40" s="34"/>
      <c r="AM40" s="35"/>
      <c r="AN40" s="36" t="str">
        <f aca="false">IF(AD40&lt;&gt;"Y","Out of scope",IF(AF40="","Awaiting response",IF(AND(OR(AF40="Yes",AF40="Partial"),AG40=""),"No detail: treat as unanswered",IF(AND(AF40="Yes",AI40=""),"No evidence link",IF(AND(AJ40="Gap",OR(AL40="",AM40="")),"Gap needs owner and due date","OK")))))</f>
        <v>Awaiting response</v>
      </c>
    </row>
    <row r="41" customFormat="false" ht="91" hidden="false" customHeight="false" outlineLevel="0" collapsed="false">
      <c r="A41" s="28" t="s">
        <v>427</v>
      </c>
      <c r="B41" s="6" t="s">
        <v>428</v>
      </c>
      <c r="C41" s="6" t="s">
        <v>429</v>
      </c>
      <c r="D41" s="6" t="s">
        <v>154</v>
      </c>
      <c r="E41" s="29" t="s">
        <v>197</v>
      </c>
      <c r="F41" s="29" t="s">
        <v>29</v>
      </c>
      <c r="G41" s="29" t="s">
        <v>38</v>
      </c>
      <c r="H41" s="6" t="s">
        <v>430</v>
      </c>
      <c r="I41" s="6" t="s">
        <v>431</v>
      </c>
      <c r="J41" s="6" t="s">
        <v>432</v>
      </c>
      <c r="K41" s="6" t="s">
        <v>433</v>
      </c>
      <c r="L41" s="29" t="n">
        <v>41</v>
      </c>
      <c r="M41" s="6" t="s">
        <v>434</v>
      </c>
      <c r="N41" s="6" t="s">
        <v>435</v>
      </c>
      <c r="O41" s="6" t="s">
        <v>224</v>
      </c>
      <c r="P41" s="6" t="s">
        <v>436</v>
      </c>
      <c r="Q41" s="6" t="s">
        <v>437</v>
      </c>
      <c r="R41" s="6" t="s">
        <v>438</v>
      </c>
      <c r="S41" s="6" t="s">
        <v>439</v>
      </c>
      <c r="T41" s="6" t="s">
        <v>440</v>
      </c>
      <c r="U41" s="6" t="s">
        <v>441</v>
      </c>
      <c r="V41" s="6" t="s">
        <v>442</v>
      </c>
      <c r="W41" s="6" t="s">
        <v>443</v>
      </c>
      <c r="X41" s="6" t="s">
        <v>444</v>
      </c>
      <c r="Y41" s="6" t="s">
        <v>445</v>
      </c>
      <c r="Z41" s="6" t="s">
        <v>446</v>
      </c>
      <c r="AA41" s="6" t="s">
        <v>313</v>
      </c>
      <c r="AB41" s="6" t="s">
        <v>314</v>
      </c>
      <c r="AC41" s="6" t="s">
        <v>447</v>
      </c>
      <c r="AD41" s="30" t="s">
        <v>208</v>
      </c>
      <c r="AE41" s="30" t="s">
        <v>208</v>
      </c>
      <c r="AF41" s="31"/>
      <c r="AG41" s="32"/>
      <c r="AH41" s="31"/>
      <c r="AI41" s="32"/>
      <c r="AJ41" s="33" t="s">
        <v>127</v>
      </c>
      <c r="AK41" s="34"/>
      <c r="AL41" s="34"/>
      <c r="AM41" s="35"/>
      <c r="AN41" s="36" t="str">
        <f aca="false">IF(AD41&lt;&gt;"Y","Out of scope",IF(AF41="","Awaiting response",IF(AND(OR(AF41="Yes",AF41="Partial"),AG41=""),"No detail: treat as unanswered",IF(AND(AF41="Yes",AI41=""),"No evidence link",IF(AND(AJ41="Gap",OR(AL41="",AM41="")),"Gap needs owner and due date","OK")))))</f>
        <v>Awaiting response</v>
      </c>
    </row>
    <row r="42" customFormat="false" ht="91" hidden="false" customHeight="false" outlineLevel="0" collapsed="false">
      <c r="A42" s="28" t="s">
        <v>448</v>
      </c>
      <c r="B42" s="6" t="s">
        <v>428</v>
      </c>
      <c r="C42" s="6" t="s">
        <v>429</v>
      </c>
      <c r="D42" s="6" t="s">
        <v>154</v>
      </c>
      <c r="E42" s="29" t="s">
        <v>197</v>
      </c>
      <c r="F42" s="29" t="s">
        <v>29</v>
      </c>
      <c r="G42" s="29" t="s">
        <v>38</v>
      </c>
      <c r="H42" s="6" t="s">
        <v>449</v>
      </c>
      <c r="I42" s="6" t="s">
        <v>431</v>
      </c>
      <c r="J42" s="6" t="s">
        <v>432</v>
      </c>
      <c r="K42" s="6" t="s">
        <v>433</v>
      </c>
      <c r="L42" s="29" t="n">
        <v>41</v>
      </c>
      <c r="M42" s="6" t="s">
        <v>434</v>
      </c>
      <c r="N42" s="6" t="s">
        <v>435</v>
      </c>
      <c r="O42" s="6" t="s">
        <v>224</v>
      </c>
      <c r="P42" s="6" t="s">
        <v>436</v>
      </c>
      <c r="Q42" s="6" t="s">
        <v>437</v>
      </c>
      <c r="R42" s="6" t="s">
        <v>438</v>
      </c>
      <c r="S42" s="6" t="s">
        <v>439</v>
      </c>
      <c r="T42" s="6" t="s">
        <v>440</v>
      </c>
      <c r="U42" s="6" t="s">
        <v>441</v>
      </c>
      <c r="V42" s="6" t="s">
        <v>442</v>
      </c>
      <c r="W42" s="6" t="s">
        <v>443</v>
      </c>
      <c r="X42" s="6" t="s">
        <v>444</v>
      </c>
      <c r="Y42" s="6" t="s">
        <v>445</v>
      </c>
      <c r="Z42" s="6" t="s">
        <v>446</v>
      </c>
      <c r="AA42" s="6" t="s">
        <v>313</v>
      </c>
      <c r="AB42" s="6" t="s">
        <v>314</v>
      </c>
      <c r="AC42" s="6" t="s">
        <v>447</v>
      </c>
      <c r="AD42" s="30" t="s">
        <v>208</v>
      </c>
      <c r="AE42" s="30" t="s">
        <v>208</v>
      </c>
      <c r="AF42" s="31"/>
      <c r="AG42" s="32"/>
      <c r="AH42" s="31"/>
      <c r="AI42" s="32"/>
      <c r="AJ42" s="33" t="s">
        <v>127</v>
      </c>
      <c r="AK42" s="34"/>
      <c r="AL42" s="34"/>
      <c r="AM42" s="35"/>
      <c r="AN42" s="36" t="str">
        <f aca="false">IF(AD42&lt;&gt;"Y","Out of scope",IF(AF42="","Awaiting response",IF(AND(OR(AF42="Yes",AF42="Partial"),AG42=""),"No detail: treat as unanswered",IF(AND(AF42="Yes",AI42=""),"No evidence link",IF(AND(AJ42="Gap",OR(AL42="",AM42="")),"Gap needs owner and due date","OK")))))</f>
        <v>Awaiting response</v>
      </c>
    </row>
    <row r="43" customFormat="false" ht="158.2" hidden="false" customHeight="false" outlineLevel="0" collapsed="false">
      <c r="A43" s="28" t="s">
        <v>450</v>
      </c>
      <c r="B43" s="6" t="s">
        <v>451</v>
      </c>
      <c r="C43" s="6" t="s">
        <v>452</v>
      </c>
      <c r="D43" s="6" t="s">
        <v>154</v>
      </c>
      <c r="E43" s="29" t="s">
        <v>197</v>
      </c>
      <c r="F43" s="29" t="s">
        <v>27</v>
      </c>
      <c r="G43" s="29" t="s">
        <v>40</v>
      </c>
      <c r="H43" s="6" t="s">
        <v>453</v>
      </c>
      <c r="I43" s="6" t="s">
        <v>454</v>
      </c>
      <c r="J43" s="6" t="s">
        <v>455</v>
      </c>
      <c r="K43" s="6" t="s">
        <v>456</v>
      </c>
      <c r="L43" s="29" t="n">
        <v>26</v>
      </c>
      <c r="M43" s="6" t="s">
        <v>457</v>
      </c>
      <c r="N43" s="6" t="s">
        <v>458</v>
      </c>
      <c r="O43" s="6" t="s">
        <v>204</v>
      </c>
      <c r="P43" s="6" t="s">
        <v>459</v>
      </c>
      <c r="Q43" s="6" t="s">
        <v>460</v>
      </c>
      <c r="R43" s="6" t="s">
        <v>461</v>
      </c>
      <c r="S43" s="6"/>
      <c r="T43" s="6" t="s">
        <v>462</v>
      </c>
      <c r="U43" s="6" t="s">
        <v>463</v>
      </c>
      <c r="V43" s="6" t="s">
        <v>464</v>
      </c>
      <c r="W43" s="6" t="s">
        <v>270</v>
      </c>
      <c r="X43" s="6" t="s">
        <v>465</v>
      </c>
      <c r="Y43" s="6"/>
      <c r="Z43" s="6"/>
      <c r="AA43" s="6" t="s">
        <v>466</v>
      </c>
      <c r="AB43" s="6"/>
      <c r="AC43" s="6" t="s">
        <v>467</v>
      </c>
      <c r="AD43" s="30" t="s">
        <v>208</v>
      </c>
      <c r="AE43" s="30" t="s">
        <v>208</v>
      </c>
      <c r="AF43" s="31"/>
      <c r="AG43" s="32"/>
      <c r="AH43" s="31"/>
      <c r="AI43" s="32"/>
      <c r="AJ43" s="33" t="s">
        <v>127</v>
      </c>
      <c r="AK43" s="34"/>
      <c r="AL43" s="34"/>
      <c r="AM43" s="35"/>
      <c r="AN43" s="36" t="str">
        <f aca="false">IF(AD43&lt;&gt;"Y","Out of scope",IF(AF43="","Awaiting response",IF(AND(OR(AF43="Yes",AF43="Partial"),AG43=""),"No detail: treat as unanswered",IF(AND(AF43="Yes",AI43=""),"No evidence link",IF(AND(AJ43="Gap",OR(AL43="",AM43="")),"Gap needs owner and due date","OK")))))</f>
        <v>Awaiting response</v>
      </c>
    </row>
    <row r="44" customFormat="false" ht="158.2" hidden="false" customHeight="false" outlineLevel="0" collapsed="false">
      <c r="A44" s="28" t="s">
        <v>468</v>
      </c>
      <c r="B44" s="6" t="s">
        <v>451</v>
      </c>
      <c r="C44" s="6" t="s">
        <v>452</v>
      </c>
      <c r="D44" s="6" t="s">
        <v>154</v>
      </c>
      <c r="E44" s="29" t="s">
        <v>197</v>
      </c>
      <c r="F44" s="29" t="s">
        <v>27</v>
      </c>
      <c r="G44" s="29" t="s">
        <v>40</v>
      </c>
      <c r="H44" s="6" t="s">
        <v>469</v>
      </c>
      <c r="I44" s="6" t="s">
        <v>454</v>
      </c>
      <c r="J44" s="6" t="s">
        <v>455</v>
      </c>
      <c r="K44" s="6" t="s">
        <v>456</v>
      </c>
      <c r="L44" s="29" t="n">
        <v>26</v>
      </c>
      <c r="M44" s="6" t="s">
        <v>457</v>
      </c>
      <c r="N44" s="6" t="s">
        <v>458</v>
      </c>
      <c r="O44" s="6" t="s">
        <v>204</v>
      </c>
      <c r="P44" s="6" t="s">
        <v>459</v>
      </c>
      <c r="Q44" s="6" t="s">
        <v>460</v>
      </c>
      <c r="R44" s="6" t="s">
        <v>461</v>
      </c>
      <c r="S44" s="6"/>
      <c r="T44" s="6" t="s">
        <v>462</v>
      </c>
      <c r="U44" s="6" t="s">
        <v>463</v>
      </c>
      <c r="V44" s="6" t="s">
        <v>464</v>
      </c>
      <c r="W44" s="6" t="s">
        <v>270</v>
      </c>
      <c r="X44" s="6" t="s">
        <v>465</v>
      </c>
      <c r="Y44" s="6"/>
      <c r="Z44" s="6"/>
      <c r="AA44" s="6" t="s">
        <v>466</v>
      </c>
      <c r="AB44" s="6"/>
      <c r="AC44" s="6" t="s">
        <v>467</v>
      </c>
      <c r="AD44" s="30" t="s">
        <v>208</v>
      </c>
      <c r="AE44" s="30" t="s">
        <v>208</v>
      </c>
      <c r="AF44" s="31"/>
      <c r="AG44" s="32"/>
      <c r="AH44" s="31"/>
      <c r="AI44" s="32"/>
      <c r="AJ44" s="33" t="s">
        <v>127</v>
      </c>
      <c r="AK44" s="34"/>
      <c r="AL44" s="34"/>
      <c r="AM44" s="35"/>
      <c r="AN44" s="36" t="str">
        <f aca="false">IF(AD44&lt;&gt;"Y","Out of scope",IF(AF44="","Awaiting response",IF(AND(OR(AF44="Yes",AF44="Partial"),AG44=""),"No detail: treat as unanswered",IF(AND(AF44="Yes",AI44=""),"No evidence link",IF(AND(AJ44="Gap",OR(AL44="",AM44="")),"Gap needs owner and due date","OK")))))</f>
        <v>Awaiting response</v>
      </c>
    </row>
    <row r="45" customFormat="false" ht="158.2" hidden="false" customHeight="false" outlineLevel="0" collapsed="false">
      <c r="A45" s="28" t="s">
        <v>470</v>
      </c>
      <c r="B45" s="6" t="s">
        <v>451</v>
      </c>
      <c r="C45" s="6" t="s">
        <v>452</v>
      </c>
      <c r="D45" s="6" t="s">
        <v>154</v>
      </c>
      <c r="E45" s="29" t="s">
        <v>197</v>
      </c>
      <c r="F45" s="29" t="s">
        <v>27</v>
      </c>
      <c r="G45" s="29" t="s">
        <v>40</v>
      </c>
      <c r="H45" s="6" t="s">
        <v>471</v>
      </c>
      <c r="I45" s="6" t="s">
        <v>454</v>
      </c>
      <c r="J45" s="6" t="s">
        <v>455</v>
      </c>
      <c r="K45" s="6" t="s">
        <v>456</v>
      </c>
      <c r="L45" s="29" t="n">
        <v>26</v>
      </c>
      <c r="M45" s="6" t="s">
        <v>457</v>
      </c>
      <c r="N45" s="6" t="s">
        <v>458</v>
      </c>
      <c r="O45" s="6" t="s">
        <v>204</v>
      </c>
      <c r="P45" s="6" t="s">
        <v>459</v>
      </c>
      <c r="Q45" s="6" t="s">
        <v>460</v>
      </c>
      <c r="R45" s="6" t="s">
        <v>461</v>
      </c>
      <c r="S45" s="6"/>
      <c r="T45" s="6" t="s">
        <v>462</v>
      </c>
      <c r="U45" s="6" t="s">
        <v>463</v>
      </c>
      <c r="V45" s="6" t="s">
        <v>464</v>
      </c>
      <c r="W45" s="6" t="s">
        <v>270</v>
      </c>
      <c r="X45" s="6" t="s">
        <v>465</v>
      </c>
      <c r="Y45" s="6"/>
      <c r="Z45" s="6"/>
      <c r="AA45" s="6" t="s">
        <v>466</v>
      </c>
      <c r="AB45" s="6"/>
      <c r="AC45" s="6" t="s">
        <v>467</v>
      </c>
      <c r="AD45" s="30" t="s">
        <v>208</v>
      </c>
      <c r="AE45" s="30" t="s">
        <v>208</v>
      </c>
      <c r="AF45" s="31"/>
      <c r="AG45" s="32"/>
      <c r="AH45" s="31"/>
      <c r="AI45" s="32"/>
      <c r="AJ45" s="33" t="s">
        <v>127</v>
      </c>
      <c r="AK45" s="34"/>
      <c r="AL45" s="34"/>
      <c r="AM45" s="35"/>
      <c r="AN45" s="36" t="str">
        <f aca="false">IF(AD45&lt;&gt;"Y","Out of scope",IF(AF45="","Awaiting response",IF(AND(OR(AF45="Yes",AF45="Partial"),AG45=""),"No detail: treat as unanswered",IF(AND(AF45="Yes",AI45=""),"No evidence link",IF(AND(AJ45="Gap",OR(AL45="",AM45="")),"Gap needs owner and due date","OK")))))</f>
        <v>Awaiting response</v>
      </c>
    </row>
    <row r="46" customFormat="false" ht="158.2" hidden="false" customHeight="false" outlineLevel="0" collapsed="false">
      <c r="A46" s="28" t="s">
        <v>472</v>
      </c>
      <c r="B46" s="6" t="s">
        <v>451</v>
      </c>
      <c r="C46" s="6" t="s">
        <v>452</v>
      </c>
      <c r="D46" s="6" t="s">
        <v>154</v>
      </c>
      <c r="E46" s="29" t="s">
        <v>197</v>
      </c>
      <c r="F46" s="29" t="s">
        <v>27</v>
      </c>
      <c r="G46" s="29" t="s">
        <v>40</v>
      </c>
      <c r="H46" s="6" t="s">
        <v>473</v>
      </c>
      <c r="I46" s="6" t="s">
        <v>454</v>
      </c>
      <c r="J46" s="6" t="s">
        <v>455</v>
      </c>
      <c r="K46" s="6" t="s">
        <v>456</v>
      </c>
      <c r="L46" s="29" t="n">
        <v>26</v>
      </c>
      <c r="M46" s="6" t="s">
        <v>457</v>
      </c>
      <c r="N46" s="6" t="s">
        <v>458</v>
      </c>
      <c r="O46" s="6" t="s">
        <v>204</v>
      </c>
      <c r="P46" s="6" t="s">
        <v>459</v>
      </c>
      <c r="Q46" s="6" t="s">
        <v>460</v>
      </c>
      <c r="R46" s="6" t="s">
        <v>461</v>
      </c>
      <c r="S46" s="6"/>
      <c r="T46" s="6" t="s">
        <v>462</v>
      </c>
      <c r="U46" s="6" t="s">
        <v>463</v>
      </c>
      <c r="V46" s="6" t="s">
        <v>464</v>
      </c>
      <c r="W46" s="6" t="s">
        <v>270</v>
      </c>
      <c r="X46" s="6" t="s">
        <v>465</v>
      </c>
      <c r="Y46" s="6"/>
      <c r="Z46" s="6"/>
      <c r="AA46" s="6" t="s">
        <v>466</v>
      </c>
      <c r="AB46" s="6"/>
      <c r="AC46" s="6" t="s">
        <v>467</v>
      </c>
      <c r="AD46" s="30" t="s">
        <v>208</v>
      </c>
      <c r="AE46" s="30" t="s">
        <v>208</v>
      </c>
      <c r="AF46" s="31"/>
      <c r="AG46" s="32"/>
      <c r="AH46" s="31"/>
      <c r="AI46" s="32"/>
      <c r="AJ46" s="33" t="s">
        <v>127</v>
      </c>
      <c r="AK46" s="34"/>
      <c r="AL46" s="34"/>
      <c r="AM46" s="35"/>
      <c r="AN46" s="36" t="str">
        <f aca="false">IF(AD46&lt;&gt;"Y","Out of scope",IF(AF46="","Awaiting response",IF(AND(OR(AF46="Yes",AF46="Partial"),AG46=""),"No detail: treat as unanswered",IF(AND(AF46="Yes",AI46=""),"No evidence link",IF(AND(AJ46="Gap",OR(AL46="",AM46="")),"Gap needs owner and due date","OK")))))</f>
        <v>Awaiting response</v>
      </c>
    </row>
    <row r="47" customFormat="false" ht="158.2" hidden="false" customHeight="false" outlineLevel="0" collapsed="false">
      <c r="A47" s="28" t="s">
        <v>474</v>
      </c>
      <c r="B47" s="6" t="s">
        <v>451</v>
      </c>
      <c r="C47" s="6" t="s">
        <v>452</v>
      </c>
      <c r="D47" s="6" t="s">
        <v>154</v>
      </c>
      <c r="E47" s="29" t="s">
        <v>197</v>
      </c>
      <c r="F47" s="29" t="s">
        <v>27</v>
      </c>
      <c r="G47" s="29" t="s">
        <v>40</v>
      </c>
      <c r="H47" s="6" t="s">
        <v>475</v>
      </c>
      <c r="I47" s="6" t="s">
        <v>454</v>
      </c>
      <c r="J47" s="6" t="s">
        <v>455</v>
      </c>
      <c r="K47" s="6" t="s">
        <v>456</v>
      </c>
      <c r="L47" s="29" t="n">
        <v>26</v>
      </c>
      <c r="M47" s="6" t="s">
        <v>457</v>
      </c>
      <c r="N47" s="6" t="s">
        <v>458</v>
      </c>
      <c r="O47" s="6" t="s">
        <v>204</v>
      </c>
      <c r="P47" s="6" t="s">
        <v>459</v>
      </c>
      <c r="Q47" s="6" t="s">
        <v>460</v>
      </c>
      <c r="R47" s="6" t="s">
        <v>461</v>
      </c>
      <c r="S47" s="6"/>
      <c r="T47" s="6" t="s">
        <v>462</v>
      </c>
      <c r="U47" s="6" t="s">
        <v>463</v>
      </c>
      <c r="V47" s="6" t="s">
        <v>464</v>
      </c>
      <c r="W47" s="6" t="s">
        <v>270</v>
      </c>
      <c r="X47" s="6" t="s">
        <v>465</v>
      </c>
      <c r="Y47" s="6"/>
      <c r="Z47" s="6"/>
      <c r="AA47" s="6" t="s">
        <v>466</v>
      </c>
      <c r="AB47" s="6"/>
      <c r="AC47" s="6" t="s">
        <v>467</v>
      </c>
      <c r="AD47" s="30" t="s">
        <v>208</v>
      </c>
      <c r="AE47" s="30" t="s">
        <v>208</v>
      </c>
      <c r="AF47" s="31"/>
      <c r="AG47" s="32"/>
      <c r="AH47" s="31"/>
      <c r="AI47" s="32"/>
      <c r="AJ47" s="33" t="s">
        <v>127</v>
      </c>
      <c r="AK47" s="34"/>
      <c r="AL47" s="34"/>
      <c r="AM47" s="35"/>
      <c r="AN47" s="36" t="str">
        <f aca="false">IF(AD47&lt;&gt;"Y","Out of scope",IF(AF47="","Awaiting response",IF(AND(OR(AF47="Yes",AF47="Partial"),AG47=""),"No detail: treat as unanswered",IF(AND(AF47="Yes",AI47=""),"No evidence link",IF(AND(AJ47="Gap",OR(AL47="",AM47="")),"Gap needs owner and due date","OK")))))</f>
        <v>Awaiting response</v>
      </c>
    </row>
    <row r="48" customFormat="false" ht="158.2" hidden="false" customHeight="false" outlineLevel="0" collapsed="false">
      <c r="A48" s="28" t="s">
        <v>476</v>
      </c>
      <c r="B48" s="6" t="s">
        <v>451</v>
      </c>
      <c r="C48" s="6" t="s">
        <v>452</v>
      </c>
      <c r="D48" s="6" t="s">
        <v>154</v>
      </c>
      <c r="E48" s="29" t="s">
        <v>197</v>
      </c>
      <c r="F48" s="29" t="s">
        <v>27</v>
      </c>
      <c r="G48" s="29" t="s">
        <v>40</v>
      </c>
      <c r="H48" s="6" t="s">
        <v>477</v>
      </c>
      <c r="I48" s="6" t="s">
        <v>454</v>
      </c>
      <c r="J48" s="6" t="s">
        <v>455</v>
      </c>
      <c r="K48" s="6" t="s">
        <v>456</v>
      </c>
      <c r="L48" s="29" t="n">
        <v>26</v>
      </c>
      <c r="M48" s="6" t="s">
        <v>457</v>
      </c>
      <c r="N48" s="6" t="s">
        <v>458</v>
      </c>
      <c r="O48" s="6" t="s">
        <v>204</v>
      </c>
      <c r="P48" s="6" t="s">
        <v>459</v>
      </c>
      <c r="Q48" s="6" t="s">
        <v>460</v>
      </c>
      <c r="R48" s="6" t="s">
        <v>461</v>
      </c>
      <c r="S48" s="6"/>
      <c r="T48" s="6" t="s">
        <v>462</v>
      </c>
      <c r="U48" s="6" t="s">
        <v>463</v>
      </c>
      <c r="V48" s="6" t="s">
        <v>464</v>
      </c>
      <c r="W48" s="6" t="s">
        <v>270</v>
      </c>
      <c r="X48" s="6" t="s">
        <v>465</v>
      </c>
      <c r="Y48" s="6"/>
      <c r="Z48" s="6"/>
      <c r="AA48" s="6" t="s">
        <v>466</v>
      </c>
      <c r="AB48" s="6"/>
      <c r="AC48" s="6" t="s">
        <v>467</v>
      </c>
      <c r="AD48" s="30" t="s">
        <v>208</v>
      </c>
      <c r="AE48" s="30" t="s">
        <v>208</v>
      </c>
      <c r="AF48" s="31"/>
      <c r="AG48" s="32"/>
      <c r="AH48" s="31"/>
      <c r="AI48" s="32"/>
      <c r="AJ48" s="33" t="s">
        <v>127</v>
      </c>
      <c r="AK48" s="34"/>
      <c r="AL48" s="34"/>
      <c r="AM48" s="35"/>
      <c r="AN48" s="36" t="str">
        <f aca="false">IF(AD48&lt;&gt;"Y","Out of scope",IF(AF48="","Awaiting response",IF(AND(OR(AF48="Yes",AF48="Partial"),AG48=""),"No detail: treat as unanswered",IF(AND(AF48="Yes",AI48=""),"No evidence link",IF(AND(AJ48="Gap",OR(AL48="",AM48="")),"Gap needs owner and due date","OK")))))</f>
        <v>Awaiting response</v>
      </c>
    </row>
    <row r="49" customFormat="false" ht="57.45" hidden="false" customHeight="false" outlineLevel="0" collapsed="false">
      <c r="A49" s="28" t="s">
        <v>478</v>
      </c>
      <c r="B49" s="6" t="s">
        <v>479</v>
      </c>
      <c r="C49" s="6" t="s">
        <v>480</v>
      </c>
      <c r="D49" s="6" t="s">
        <v>155</v>
      </c>
      <c r="E49" s="29" t="s">
        <v>197</v>
      </c>
      <c r="F49" s="29" t="s">
        <v>31</v>
      </c>
      <c r="G49" s="29" t="s">
        <v>38</v>
      </c>
      <c r="H49" s="6" t="s">
        <v>481</v>
      </c>
      <c r="I49" s="6" t="s">
        <v>482</v>
      </c>
      <c r="J49" s="6" t="s">
        <v>483</v>
      </c>
      <c r="K49" s="6" t="s">
        <v>484</v>
      </c>
      <c r="L49" s="29" t="n">
        <v>45</v>
      </c>
      <c r="M49" s="6" t="s">
        <v>485</v>
      </c>
      <c r="N49" s="6" t="s">
        <v>486</v>
      </c>
      <c r="O49" s="6" t="s">
        <v>487</v>
      </c>
      <c r="P49" s="6" t="s">
        <v>488</v>
      </c>
      <c r="Q49" s="6"/>
      <c r="R49" s="6"/>
      <c r="S49" s="6"/>
      <c r="T49" s="6"/>
      <c r="U49" s="6"/>
      <c r="V49" s="6"/>
      <c r="W49" s="6"/>
      <c r="X49" s="6"/>
      <c r="Y49" s="6"/>
      <c r="Z49" s="6"/>
      <c r="AA49" s="6"/>
      <c r="AB49" s="6"/>
      <c r="AC49" s="6"/>
      <c r="AD49" s="30" t="s">
        <v>208</v>
      </c>
      <c r="AE49" s="30" t="s">
        <v>208</v>
      </c>
      <c r="AF49" s="31"/>
      <c r="AG49" s="32"/>
      <c r="AH49" s="31"/>
      <c r="AI49" s="32"/>
      <c r="AJ49" s="33" t="s">
        <v>127</v>
      </c>
      <c r="AK49" s="34"/>
      <c r="AL49" s="34"/>
      <c r="AM49" s="35"/>
      <c r="AN49" s="36" t="str">
        <f aca="false">IF(AD49&lt;&gt;"Y","Out of scope",IF(AF49="","Awaiting response",IF(AND(OR(AF49="Yes",AF49="Partial"),AG49=""),"No detail: treat as unanswered",IF(AND(AF49="Yes",AI49=""),"No evidence link",IF(AND(AJ49="Gap",OR(AL49="",AM49="")),"Gap needs owner and due date","OK")))))</f>
        <v>Awaiting response</v>
      </c>
    </row>
    <row r="50" customFormat="false" ht="57.45" hidden="false" customHeight="false" outlineLevel="0" collapsed="false">
      <c r="A50" s="28" t="s">
        <v>489</v>
      </c>
      <c r="B50" s="6" t="s">
        <v>479</v>
      </c>
      <c r="C50" s="6" t="s">
        <v>480</v>
      </c>
      <c r="D50" s="6" t="s">
        <v>155</v>
      </c>
      <c r="E50" s="29" t="s">
        <v>197</v>
      </c>
      <c r="F50" s="29" t="s">
        <v>31</v>
      </c>
      <c r="G50" s="29" t="s">
        <v>38</v>
      </c>
      <c r="H50" s="6" t="s">
        <v>490</v>
      </c>
      <c r="I50" s="6" t="s">
        <v>482</v>
      </c>
      <c r="J50" s="6" t="s">
        <v>483</v>
      </c>
      <c r="K50" s="6" t="s">
        <v>484</v>
      </c>
      <c r="L50" s="29" t="n">
        <v>45</v>
      </c>
      <c r="M50" s="6" t="s">
        <v>485</v>
      </c>
      <c r="N50" s="6" t="s">
        <v>486</v>
      </c>
      <c r="O50" s="6" t="s">
        <v>487</v>
      </c>
      <c r="P50" s="6" t="s">
        <v>488</v>
      </c>
      <c r="Q50" s="6"/>
      <c r="R50" s="6"/>
      <c r="S50" s="6"/>
      <c r="T50" s="6"/>
      <c r="U50" s="6"/>
      <c r="V50" s="6"/>
      <c r="W50" s="6"/>
      <c r="X50" s="6"/>
      <c r="Y50" s="6"/>
      <c r="Z50" s="6"/>
      <c r="AA50" s="6"/>
      <c r="AB50" s="6"/>
      <c r="AC50" s="6"/>
      <c r="AD50" s="30" t="s">
        <v>208</v>
      </c>
      <c r="AE50" s="30" t="s">
        <v>208</v>
      </c>
      <c r="AF50" s="31"/>
      <c r="AG50" s="32"/>
      <c r="AH50" s="31"/>
      <c r="AI50" s="32"/>
      <c r="AJ50" s="33" t="s">
        <v>127</v>
      </c>
      <c r="AK50" s="34"/>
      <c r="AL50" s="34"/>
      <c r="AM50" s="35"/>
      <c r="AN50" s="36" t="str">
        <f aca="false">IF(AD50&lt;&gt;"Y","Out of scope",IF(AF50="","Awaiting response",IF(AND(OR(AF50="Yes",AF50="Partial"),AG50=""),"No detail: treat as unanswered",IF(AND(AF50="Yes",AI50=""),"No evidence link",IF(AND(AJ50="Gap",OR(AL50="",AM50="")),"Gap needs owner and due date","OK")))))</f>
        <v>Awaiting response</v>
      </c>
    </row>
    <row r="51" customFormat="false" ht="57.45" hidden="false" customHeight="false" outlineLevel="0" collapsed="false">
      <c r="A51" s="28" t="s">
        <v>491</v>
      </c>
      <c r="B51" s="6" t="s">
        <v>479</v>
      </c>
      <c r="C51" s="6" t="s">
        <v>480</v>
      </c>
      <c r="D51" s="6" t="s">
        <v>155</v>
      </c>
      <c r="E51" s="29" t="s">
        <v>197</v>
      </c>
      <c r="F51" s="29" t="s">
        <v>31</v>
      </c>
      <c r="G51" s="29" t="s">
        <v>38</v>
      </c>
      <c r="H51" s="6" t="s">
        <v>492</v>
      </c>
      <c r="I51" s="6" t="s">
        <v>482</v>
      </c>
      <c r="J51" s="6" t="s">
        <v>483</v>
      </c>
      <c r="K51" s="6" t="s">
        <v>484</v>
      </c>
      <c r="L51" s="29" t="n">
        <v>45</v>
      </c>
      <c r="M51" s="6" t="s">
        <v>485</v>
      </c>
      <c r="N51" s="6" t="s">
        <v>486</v>
      </c>
      <c r="O51" s="6" t="s">
        <v>487</v>
      </c>
      <c r="P51" s="6" t="s">
        <v>488</v>
      </c>
      <c r="Q51" s="6"/>
      <c r="R51" s="6"/>
      <c r="S51" s="6"/>
      <c r="T51" s="6"/>
      <c r="U51" s="6"/>
      <c r="V51" s="6"/>
      <c r="W51" s="6"/>
      <c r="X51" s="6"/>
      <c r="Y51" s="6"/>
      <c r="Z51" s="6"/>
      <c r="AA51" s="6"/>
      <c r="AB51" s="6"/>
      <c r="AC51" s="6"/>
      <c r="AD51" s="30" t="s">
        <v>208</v>
      </c>
      <c r="AE51" s="30" t="s">
        <v>208</v>
      </c>
      <c r="AF51" s="31"/>
      <c r="AG51" s="32"/>
      <c r="AH51" s="31"/>
      <c r="AI51" s="32"/>
      <c r="AJ51" s="33" t="s">
        <v>127</v>
      </c>
      <c r="AK51" s="34"/>
      <c r="AL51" s="34"/>
      <c r="AM51" s="35"/>
      <c r="AN51" s="36" t="str">
        <f aca="false">IF(AD51&lt;&gt;"Y","Out of scope",IF(AF51="","Awaiting response",IF(AND(OR(AF51="Yes",AF51="Partial"),AG51=""),"No detail: treat as unanswered",IF(AND(AF51="Yes",AI51=""),"No evidence link",IF(AND(AJ51="Gap",OR(AL51="",AM51="")),"Gap needs owner and due date","OK")))))</f>
        <v>Awaiting response</v>
      </c>
    </row>
    <row r="52" customFormat="false" ht="57.45" hidden="false" customHeight="false" outlineLevel="0" collapsed="false">
      <c r="A52" s="28" t="s">
        <v>493</v>
      </c>
      <c r="B52" s="6" t="s">
        <v>479</v>
      </c>
      <c r="C52" s="6" t="s">
        <v>480</v>
      </c>
      <c r="D52" s="6" t="s">
        <v>155</v>
      </c>
      <c r="E52" s="29" t="s">
        <v>197</v>
      </c>
      <c r="F52" s="29" t="s">
        <v>31</v>
      </c>
      <c r="G52" s="29" t="s">
        <v>38</v>
      </c>
      <c r="H52" s="6" t="s">
        <v>494</v>
      </c>
      <c r="I52" s="6" t="s">
        <v>482</v>
      </c>
      <c r="J52" s="6" t="s">
        <v>483</v>
      </c>
      <c r="K52" s="6" t="s">
        <v>484</v>
      </c>
      <c r="L52" s="29" t="n">
        <v>45</v>
      </c>
      <c r="M52" s="6" t="s">
        <v>485</v>
      </c>
      <c r="N52" s="6" t="s">
        <v>486</v>
      </c>
      <c r="O52" s="6" t="s">
        <v>487</v>
      </c>
      <c r="P52" s="6" t="s">
        <v>488</v>
      </c>
      <c r="Q52" s="6"/>
      <c r="R52" s="6"/>
      <c r="S52" s="6"/>
      <c r="T52" s="6"/>
      <c r="U52" s="6"/>
      <c r="V52" s="6"/>
      <c r="W52" s="6"/>
      <c r="X52" s="6"/>
      <c r="Y52" s="6"/>
      <c r="Z52" s="6"/>
      <c r="AA52" s="6"/>
      <c r="AB52" s="6"/>
      <c r="AC52" s="6"/>
      <c r="AD52" s="30" t="s">
        <v>208</v>
      </c>
      <c r="AE52" s="30" t="s">
        <v>208</v>
      </c>
      <c r="AF52" s="31"/>
      <c r="AG52" s="32"/>
      <c r="AH52" s="31"/>
      <c r="AI52" s="32"/>
      <c r="AJ52" s="33" t="s">
        <v>127</v>
      </c>
      <c r="AK52" s="34"/>
      <c r="AL52" s="34"/>
      <c r="AM52" s="35"/>
      <c r="AN52" s="36" t="str">
        <f aca="false">IF(AD52&lt;&gt;"Y","Out of scope",IF(AF52="","Awaiting response",IF(AND(OR(AF52="Yes",AF52="Partial"),AG52=""),"No detail: treat as unanswered",IF(AND(AF52="Yes",AI52=""),"No evidence link",IF(AND(AJ52="Gap",OR(AL52="",AM52="")),"Gap needs owner and due date","OK")))))</f>
        <v>Awaiting response</v>
      </c>
    </row>
    <row r="53" customFormat="false" ht="57.45" hidden="false" customHeight="false" outlineLevel="0" collapsed="false">
      <c r="A53" s="28" t="s">
        <v>495</v>
      </c>
      <c r="B53" s="6" t="s">
        <v>479</v>
      </c>
      <c r="C53" s="6" t="s">
        <v>480</v>
      </c>
      <c r="D53" s="6" t="s">
        <v>155</v>
      </c>
      <c r="E53" s="29" t="s">
        <v>197</v>
      </c>
      <c r="F53" s="29" t="s">
        <v>31</v>
      </c>
      <c r="G53" s="29" t="s">
        <v>38</v>
      </c>
      <c r="H53" s="6" t="s">
        <v>496</v>
      </c>
      <c r="I53" s="6" t="s">
        <v>482</v>
      </c>
      <c r="J53" s="6" t="s">
        <v>483</v>
      </c>
      <c r="K53" s="6" t="s">
        <v>484</v>
      </c>
      <c r="L53" s="29" t="n">
        <v>45</v>
      </c>
      <c r="M53" s="6" t="s">
        <v>485</v>
      </c>
      <c r="N53" s="6" t="s">
        <v>486</v>
      </c>
      <c r="O53" s="6" t="s">
        <v>487</v>
      </c>
      <c r="P53" s="6" t="s">
        <v>488</v>
      </c>
      <c r="Q53" s="6"/>
      <c r="R53" s="6"/>
      <c r="S53" s="6"/>
      <c r="T53" s="6"/>
      <c r="U53" s="6"/>
      <c r="V53" s="6"/>
      <c r="W53" s="6"/>
      <c r="X53" s="6"/>
      <c r="Y53" s="6"/>
      <c r="Z53" s="6"/>
      <c r="AA53" s="6"/>
      <c r="AB53" s="6"/>
      <c r="AC53" s="6"/>
      <c r="AD53" s="30" t="s">
        <v>208</v>
      </c>
      <c r="AE53" s="30" t="s">
        <v>208</v>
      </c>
      <c r="AF53" s="31"/>
      <c r="AG53" s="32"/>
      <c r="AH53" s="31"/>
      <c r="AI53" s="32"/>
      <c r="AJ53" s="33" t="s">
        <v>127</v>
      </c>
      <c r="AK53" s="34"/>
      <c r="AL53" s="34"/>
      <c r="AM53" s="35"/>
      <c r="AN53" s="36" t="str">
        <f aca="false">IF(AD53&lt;&gt;"Y","Out of scope",IF(AF53="","Awaiting response",IF(AND(OR(AF53="Yes",AF53="Partial"),AG53=""),"No detail: treat as unanswered",IF(AND(AF53="Yes",AI53=""),"No evidence link",IF(AND(AJ53="Gap",OR(AL53="",AM53="")),"Gap needs owner and due date","OK")))))</f>
        <v>Awaiting response</v>
      </c>
    </row>
    <row r="54" customFormat="false" ht="57.45" hidden="false" customHeight="false" outlineLevel="0" collapsed="false">
      <c r="A54" s="28" t="s">
        <v>497</v>
      </c>
      <c r="B54" s="6" t="s">
        <v>479</v>
      </c>
      <c r="C54" s="6" t="s">
        <v>480</v>
      </c>
      <c r="D54" s="6" t="s">
        <v>155</v>
      </c>
      <c r="E54" s="29" t="s">
        <v>197</v>
      </c>
      <c r="F54" s="29" t="s">
        <v>31</v>
      </c>
      <c r="G54" s="29" t="s">
        <v>38</v>
      </c>
      <c r="H54" s="6" t="s">
        <v>498</v>
      </c>
      <c r="I54" s="6" t="s">
        <v>482</v>
      </c>
      <c r="J54" s="6" t="s">
        <v>483</v>
      </c>
      <c r="K54" s="6" t="s">
        <v>484</v>
      </c>
      <c r="L54" s="29" t="n">
        <v>45</v>
      </c>
      <c r="M54" s="6" t="s">
        <v>485</v>
      </c>
      <c r="N54" s="6" t="s">
        <v>486</v>
      </c>
      <c r="O54" s="6" t="s">
        <v>487</v>
      </c>
      <c r="P54" s="6" t="s">
        <v>488</v>
      </c>
      <c r="Q54" s="6"/>
      <c r="R54" s="6"/>
      <c r="S54" s="6"/>
      <c r="T54" s="6"/>
      <c r="U54" s="6"/>
      <c r="V54" s="6"/>
      <c r="W54" s="6"/>
      <c r="X54" s="6"/>
      <c r="Y54" s="6"/>
      <c r="Z54" s="6"/>
      <c r="AA54" s="6"/>
      <c r="AB54" s="6"/>
      <c r="AC54" s="6"/>
      <c r="AD54" s="30" t="s">
        <v>208</v>
      </c>
      <c r="AE54" s="30" t="s">
        <v>208</v>
      </c>
      <c r="AF54" s="31"/>
      <c r="AG54" s="32"/>
      <c r="AH54" s="31"/>
      <c r="AI54" s="32"/>
      <c r="AJ54" s="33" t="s">
        <v>127</v>
      </c>
      <c r="AK54" s="34"/>
      <c r="AL54" s="34"/>
      <c r="AM54" s="35"/>
      <c r="AN54" s="36" t="str">
        <f aca="false">IF(AD54&lt;&gt;"Y","Out of scope",IF(AF54="","Awaiting response",IF(AND(OR(AF54="Yes",AF54="Partial"),AG54=""),"No detail: treat as unanswered",IF(AND(AF54="Yes",AI54=""),"No evidence link",IF(AND(AJ54="Gap",OR(AL54="",AM54="")),"Gap needs owner and due date","OK")))))</f>
        <v>Awaiting response</v>
      </c>
    </row>
    <row r="55" customFormat="false" ht="57.45" hidden="false" customHeight="false" outlineLevel="0" collapsed="false">
      <c r="A55" s="28" t="s">
        <v>499</v>
      </c>
      <c r="B55" s="6" t="s">
        <v>479</v>
      </c>
      <c r="C55" s="6" t="s">
        <v>480</v>
      </c>
      <c r="D55" s="6" t="s">
        <v>155</v>
      </c>
      <c r="E55" s="29" t="s">
        <v>197</v>
      </c>
      <c r="F55" s="29" t="s">
        <v>31</v>
      </c>
      <c r="G55" s="29" t="s">
        <v>38</v>
      </c>
      <c r="H55" s="6" t="s">
        <v>500</v>
      </c>
      <c r="I55" s="6" t="s">
        <v>482</v>
      </c>
      <c r="J55" s="6" t="s">
        <v>483</v>
      </c>
      <c r="K55" s="6" t="s">
        <v>484</v>
      </c>
      <c r="L55" s="29" t="n">
        <v>45</v>
      </c>
      <c r="M55" s="6" t="s">
        <v>485</v>
      </c>
      <c r="N55" s="6" t="s">
        <v>486</v>
      </c>
      <c r="O55" s="6" t="s">
        <v>487</v>
      </c>
      <c r="P55" s="6" t="s">
        <v>488</v>
      </c>
      <c r="Q55" s="6"/>
      <c r="R55" s="6"/>
      <c r="S55" s="6"/>
      <c r="T55" s="6"/>
      <c r="U55" s="6"/>
      <c r="V55" s="6"/>
      <c r="W55" s="6"/>
      <c r="X55" s="6"/>
      <c r="Y55" s="6"/>
      <c r="Z55" s="6"/>
      <c r="AA55" s="6"/>
      <c r="AB55" s="6"/>
      <c r="AC55" s="6"/>
      <c r="AD55" s="30" t="s">
        <v>208</v>
      </c>
      <c r="AE55" s="30" t="s">
        <v>208</v>
      </c>
      <c r="AF55" s="31"/>
      <c r="AG55" s="32"/>
      <c r="AH55" s="31"/>
      <c r="AI55" s="32"/>
      <c r="AJ55" s="33" t="s">
        <v>127</v>
      </c>
      <c r="AK55" s="34"/>
      <c r="AL55" s="34"/>
      <c r="AM55" s="35"/>
      <c r="AN55" s="36" t="str">
        <f aca="false">IF(AD55&lt;&gt;"Y","Out of scope",IF(AF55="","Awaiting response",IF(AND(OR(AF55="Yes",AF55="Partial"),AG55=""),"No detail: treat as unanswered",IF(AND(AF55="Yes",AI55=""),"No evidence link",IF(AND(AJ55="Gap",OR(AL55="",AM55="")),"Gap needs owner and due date","OK")))))</f>
        <v>Awaiting response</v>
      </c>
    </row>
    <row r="56" customFormat="false" ht="57.45" hidden="false" customHeight="false" outlineLevel="0" collapsed="false">
      <c r="A56" s="28" t="s">
        <v>501</v>
      </c>
      <c r="B56" s="6" t="s">
        <v>502</v>
      </c>
      <c r="C56" s="6" t="s">
        <v>503</v>
      </c>
      <c r="D56" s="6" t="s">
        <v>155</v>
      </c>
      <c r="E56" s="29" t="s">
        <v>197</v>
      </c>
      <c r="F56" s="29" t="s">
        <v>31</v>
      </c>
      <c r="G56" s="29" t="s">
        <v>38</v>
      </c>
      <c r="H56" s="6" t="s">
        <v>504</v>
      </c>
      <c r="I56" s="6" t="s">
        <v>505</v>
      </c>
      <c r="J56" s="6" t="s">
        <v>506</v>
      </c>
      <c r="K56" s="6" t="s">
        <v>507</v>
      </c>
      <c r="L56" s="29" t="n">
        <v>53</v>
      </c>
      <c r="M56" s="6" t="s">
        <v>260</v>
      </c>
      <c r="N56" s="6" t="s">
        <v>508</v>
      </c>
      <c r="O56" s="6" t="s">
        <v>509</v>
      </c>
      <c r="P56" s="6" t="s">
        <v>510</v>
      </c>
      <c r="Q56" s="6"/>
      <c r="R56" s="6"/>
      <c r="S56" s="6"/>
      <c r="T56" s="6"/>
      <c r="U56" s="6"/>
      <c r="V56" s="6" t="s">
        <v>511</v>
      </c>
      <c r="W56" s="6"/>
      <c r="X56" s="6"/>
      <c r="Y56" s="6"/>
      <c r="Z56" s="6"/>
      <c r="AA56" s="6"/>
      <c r="AB56" s="6"/>
      <c r="AC56" s="6"/>
      <c r="AD56" s="30" t="s">
        <v>208</v>
      </c>
      <c r="AE56" s="30" t="s">
        <v>208</v>
      </c>
      <c r="AF56" s="31"/>
      <c r="AG56" s="32"/>
      <c r="AH56" s="31"/>
      <c r="AI56" s="32"/>
      <c r="AJ56" s="33" t="s">
        <v>127</v>
      </c>
      <c r="AK56" s="34"/>
      <c r="AL56" s="34"/>
      <c r="AM56" s="35"/>
      <c r="AN56" s="36" t="str">
        <f aca="false">IF(AD56&lt;&gt;"Y","Out of scope",IF(AF56="","Awaiting response",IF(AND(OR(AF56="Yes",AF56="Partial"),AG56=""),"No detail: treat as unanswered",IF(AND(AF56="Yes",AI56=""),"No evidence link",IF(AND(AJ56="Gap",OR(AL56="",AM56="")),"Gap needs owner and due date","OK")))))</f>
        <v>Awaiting response</v>
      </c>
    </row>
    <row r="57" customFormat="false" ht="57.45" hidden="false" customHeight="false" outlineLevel="0" collapsed="false">
      <c r="A57" s="28" t="s">
        <v>512</v>
      </c>
      <c r="B57" s="6" t="s">
        <v>502</v>
      </c>
      <c r="C57" s="6" t="s">
        <v>503</v>
      </c>
      <c r="D57" s="6" t="s">
        <v>155</v>
      </c>
      <c r="E57" s="29" t="s">
        <v>197</v>
      </c>
      <c r="F57" s="29" t="s">
        <v>31</v>
      </c>
      <c r="G57" s="29" t="s">
        <v>38</v>
      </c>
      <c r="H57" s="6" t="s">
        <v>513</v>
      </c>
      <c r="I57" s="6" t="s">
        <v>505</v>
      </c>
      <c r="J57" s="6" t="s">
        <v>506</v>
      </c>
      <c r="K57" s="6" t="s">
        <v>507</v>
      </c>
      <c r="L57" s="29" t="n">
        <v>53</v>
      </c>
      <c r="M57" s="6" t="s">
        <v>260</v>
      </c>
      <c r="N57" s="6" t="s">
        <v>508</v>
      </c>
      <c r="O57" s="6" t="s">
        <v>509</v>
      </c>
      <c r="P57" s="6" t="s">
        <v>510</v>
      </c>
      <c r="Q57" s="6"/>
      <c r="R57" s="6"/>
      <c r="S57" s="6"/>
      <c r="T57" s="6"/>
      <c r="U57" s="6"/>
      <c r="V57" s="6" t="s">
        <v>511</v>
      </c>
      <c r="W57" s="6"/>
      <c r="X57" s="6"/>
      <c r="Y57" s="6"/>
      <c r="Z57" s="6"/>
      <c r="AA57" s="6"/>
      <c r="AB57" s="6"/>
      <c r="AC57" s="6"/>
      <c r="AD57" s="30" t="s">
        <v>208</v>
      </c>
      <c r="AE57" s="30" t="s">
        <v>208</v>
      </c>
      <c r="AF57" s="31"/>
      <c r="AG57" s="32"/>
      <c r="AH57" s="31"/>
      <c r="AI57" s="32"/>
      <c r="AJ57" s="33" t="s">
        <v>127</v>
      </c>
      <c r="AK57" s="34"/>
      <c r="AL57" s="34"/>
      <c r="AM57" s="35"/>
      <c r="AN57" s="36" t="str">
        <f aca="false">IF(AD57&lt;&gt;"Y","Out of scope",IF(AF57="","Awaiting response",IF(AND(OR(AF57="Yes",AF57="Partial"),AG57=""),"No detail: treat as unanswered",IF(AND(AF57="Yes",AI57=""),"No evidence link",IF(AND(AJ57="Gap",OR(AL57="",AM57="")),"Gap needs owner and due date","OK")))))</f>
        <v>Awaiting response</v>
      </c>
    </row>
    <row r="58" customFormat="false" ht="57.45" hidden="false" customHeight="false" outlineLevel="0" collapsed="false">
      <c r="A58" s="28" t="s">
        <v>514</v>
      </c>
      <c r="B58" s="6" t="s">
        <v>502</v>
      </c>
      <c r="C58" s="6" t="s">
        <v>503</v>
      </c>
      <c r="D58" s="6" t="s">
        <v>155</v>
      </c>
      <c r="E58" s="29" t="s">
        <v>197</v>
      </c>
      <c r="F58" s="29" t="s">
        <v>31</v>
      </c>
      <c r="G58" s="29" t="s">
        <v>38</v>
      </c>
      <c r="H58" s="6" t="s">
        <v>515</v>
      </c>
      <c r="I58" s="6" t="s">
        <v>505</v>
      </c>
      <c r="J58" s="6" t="s">
        <v>506</v>
      </c>
      <c r="K58" s="6" t="s">
        <v>507</v>
      </c>
      <c r="L58" s="29" t="n">
        <v>53</v>
      </c>
      <c r="M58" s="6" t="s">
        <v>260</v>
      </c>
      <c r="N58" s="6" t="s">
        <v>508</v>
      </c>
      <c r="O58" s="6" t="s">
        <v>509</v>
      </c>
      <c r="P58" s="6" t="s">
        <v>510</v>
      </c>
      <c r="Q58" s="6"/>
      <c r="R58" s="6"/>
      <c r="S58" s="6"/>
      <c r="T58" s="6"/>
      <c r="U58" s="6"/>
      <c r="V58" s="6" t="s">
        <v>511</v>
      </c>
      <c r="W58" s="6"/>
      <c r="X58" s="6"/>
      <c r="Y58" s="6"/>
      <c r="Z58" s="6"/>
      <c r="AA58" s="6"/>
      <c r="AB58" s="6"/>
      <c r="AC58" s="6"/>
      <c r="AD58" s="30" t="s">
        <v>208</v>
      </c>
      <c r="AE58" s="30" t="s">
        <v>208</v>
      </c>
      <c r="AF58" s="31"/>
      <c r="AG58" s="32"/>
      <c r="AH58" s="31"/>
      <c r="AI58" s="32"/>
      <c r="AJ58" s="33" t="s">
        <v>127</v>
      </c>
      <c r="AK58" s="34"/>
      <c r="AL58" s="34"/>
      <c r="AM58" s="35"/>
      <c r="AN58" s="36" t="str">
        <f aca="false">IF(AD58&lt;&gt;"Y","Out of scope",IF(AF58="","Awaiting response",IF(AND(OR(AF58="Yes",AF58="Partial"),AG58=""),"No detail: treat as unanswered",IF(AND(AF58="Yes",AI58=""),"No evidence link",IF(AND(AJ58="Gap",OR(AL58="",AM58="")),"Gap needs owner and due date","OK")))))</f>
        <v>Awaiting response</v>
      </c>
    </row>
    <row r="59" customFormat="false" ht="57.45" hidden="false" customHeight="false" outlineLevel="0" collapsed="false">
      <c r="A59" s="28" t="s">
        <v>516</v>
      </c>
      <c r="B59" s="6" t="s">
        <v>502</v>
      </c>
      <c r="C59" s="6" t="s">
        <v>503</v>
      </c>
      <c r="D59" s="6" t="s">
        <v>155</v>
      </c>
      <c r="E59" s="29" t="s">
        <v>197</v>
      </c>
      <c r="F59" s="29" t="s">
        <v>31</v>
      </c>
      <c r="G59" s="29" t="s">
        <v>38</v>
      </c>
      <c r="H59" s="6" t="s">
        <v>517</v>
      </c>
      <c r="I59" s="6" t="s">
        <v>505</v>
      </c>
      <c r="J59" s="6" t="s">
        <v>506</v>
      </c>
      <c r="K59" s="6" t="s">
        <v>507</v>
      </c>
      <c r="L59" s="29" t="n">
        <v>53</v>
      </c>
      <c r="M59" s="6" t="s">
        <v>260</v>
      </c>
      <c r="N59" s="6" t="s">
        <v>508</v>
      </c>
      <c r="O59" s="6" t="s">
        <v>509</v>
      </c>
      <c r="P59" s="6" t="s">
        <v>510</v>
      </c>
      <c r="Q59" s="6"/>
      <c r="R59" s="6"/>
      <c r="S59" s="6"/>
      <c r="T59" s="6"/>
      <c r="U59" s="6"/>
      <c r="V59" s="6" t="s">
        <v>511</v>
      </c>
      <c r="W59" s="6"/>
      <c r="X59" s="6"/>
      <c r="Y59" s="6"/>
      <c r="Z59" s="6"/>
      <c r="AA59" s="6"/>
      <c r="AB59" s="6"/>
      <c r="AC59" s="6"/>
      <c r="AD59" s="30" t="s">
        <v>208</v>
      </c>
      <c r="AE59" s="30" t="s">
        <v>208</v>
      </c>
      <c r="AF59" s="31"/>
      <c r="AG59" s="32"/>
      <c r="AH59" s="31"/>
      <c r="AI59" s="32"/>
      <c r="AJ59" s="33" t="s">
        <v>127</v>
      </c>
      <c r="AK59" s="34"/>
      <c r="AL59" s="34"/>
      <c r="AM59" s="35"/>
      <c r="AN59" s="36" t="str">
        <f aca="false">IF(AD59&lt;&gt;"Y","Out of scope",IF(AF59="","Awaiting response",IF(AND(OR(AF59="Yes",AF59="Partial"),AG59=""),"No detail: treat as unanswered",IF(AND(AF59="Yes",AI59=""),"No evidence link",IF(AND(AJ59="Gap",OR(AL59="",AM59="")),"Gap needs owner and due date","OK")))))</f>
        <v>Awaiting response</v>
      </c>
    </row>
    <row r="60" customFormat="false" ht="57.45" hidden="false" customHeight="false" outlineLevel="0" collapsed="false">
      <c r="A60" s="28" t="s">
        <v>518</v>
      </c>
      <c r="B60" s="6" t="s">
        <v>502</v>
      </c>
      <c r="C60" s="6" t="s">
        <v>503</v>
      </c>
      <c r="D60" s="6" t="s">
        <v>155</v>
      </c>
      <c r="E60" s="29" t="s">
        <v>197</v>
      </c>
      <c r="F60" s="29" t="s">
        <v>31</v>
      </c>
      <c r="G60" s="29" t="s">
        <v>38</v>
      </c>
      <c r="H60" s="6" t="s">
        <v>519</v>
      </c>
      <c r="I60" s="6" t="s">
        <v>505</v>
      </c>
      <c r="J60" s="6" t="s">
        <v>506</v>
      </c>
      <c r="K60" s="6" t="s">
        <v>507</v>
      </c>
      <c r="L60" s="29" t="n">
        <v>53</v>
      </c>
      <c r="M60" s="6" t="s">
        <v>260</v>
      </c>
      <c r="N60" s="6" t="s">
        <v>508</v>
      </c>
      <c r="O60" s="6" t="s">
        <v>509</v>
      </c>
      <c r="P60" s="6" t="s">
        <v>510</v>
      </c>
      <c r="Q60" s="6"/>
      <c r="R60" s="6"/>
      <c r="S60" s="6"/>
      <c r="T60" s="6"/>
      <c r="U60" s="6"/>
      <c r="V60" s="6" t="s">
        <v>511</v>
      </c>
      <c r="W60" s="6"/>
      <c r="X60" s="6"/>
      <c r="Y60" s="6"/>
      <c r="Z60" s="6"/>
      <c r="AA60" s="6"/>
      <c r="AB60" s="6"/>
      <c r="AC60" s="6"/>
      <c r="AD60" s="30" t="s">
        <v>208</v>
      </c>
      <c r="AE60" s="30" t="s">
        <v>208</v>
      </c>
      <c r="AF60" s="31"/>
      <c r="AG60" s="32"/>
      <c r="AH60" s="31"/>
      <c r="AI60" s="32"/>
      <c r="AJ60" s="33" t="s">
        <v>127</v>
      </c>
      <c r="AK60" s="34"/>
      <c r="AL60" s="34"/>
      <c r="AM60" s="35"/>
      <c r="AN60" s="36" t="str">
        <f aca="false">IF(AD60&lt;&gt;"Y","Out of scope",IF(AF60="","Awaiting response",IF(AND(OR(AF60="Yes",AF60="Partial"),AG60=""),"No detail: treat as unanswered",IF(AND(AF60="Yes",AI60=""),"No evidence link",IF(AND(AJ60="Gap",OR(AL60="",AM60="")),"Gap needs owner and due date","OK")))))</f>
        <v>Awaiting response</v>
      </c>
    </row>
    <row r="61" customFormat="false" ht="91" hidden="false" customHeight="false" outlineLevel="0" collapsed="false">
      <c r="A61" s="28" t="s">
        <v>520</v>
      </c>
      <c r="B61" s="6" t="s">
        <v>521</v>
      </c>
      <c r="C61" s="6" t="s">
        <v>522</v>
      </c>
      <c r="D61" s="6" t="s">
        <v>151</v>
      </c>
      <c r="E61" s="29" t="s">
        <v>197</v>
      </c>
      <c r="F61" s="29" t="s">
        <v>31</v>
      </c>
      <c r="G61" s="29" t="s">
        <v>38</v>
      </c>
      <c r="H61" s="6" t="s">
        <v>523</v>
      </c>
      <c r="I61" s="6" t="s">
        <v>524</v>
      </c>
      <c r="J61" s="6" t="s">
        <v>525</v>
      </c>
      <c r="K61" s="6" t="s">
        <v>526</v>
      </c>
      <c r="L61" s="29" t="n">
        <v>39</v>
      </c>
      <c r="M61" s="6" t="s">
        <v>527</v>
      </c>
      <c r="N61" s="6" t="s">
        <v>528</v>
      </c>
      <c r="O61" s="6" t="s">
        <v>224</v>
      </c>
      <c r="P61" s="6" t="s">
        <v>529</v>
      </c>
      <c r="Q61" s="6" t="s">
        <v>530</v>
      </c>
      <c r="R61" s="6" t="s">
        <v>531</v>
      </c>
      <c r="S61" s="6" t="s">
        <v>308</v>
      </c>
      <c r="T61" s="6" t="s">
        <v>532</v>
      </c>
      <c r="U61" s="6" t="s">
        <v>533</v>
      </c>
      <c r="V61" s="6" t="s">
        <v>442</v>
      </c>
      <c r="W61" s="6"/>
      <c r="X61" s="6" t="s">
        <v>311</v>
      </c>
      <c r="Y61" s="6"/>
      <c r="Z61" s="6"/>
      <c r="AA61" s="6"/>
      <c r="AB61" s="6"/>
      <c r="AC61" s="6" t="s">
        <v>534</v>
      </c>
      <c r="AD61" s="30" t="s">
        <v>208</v>
      </c>
      <c r="AE61" s="30" t="s">
        <v>208</v>
      </c>
      <c r="AF61" s="31"/>
      <c r="AG61" s="32"/>
      <c r="AH61" s="31"/>
      <c r="AI61" s="32"/>
      <c r="AJ61" s="33" t="s">
        <v>127</v>
      </c>
      <c r="AK61" s="34"/>
      <c r="AL61" s="34"/>
      <c r="AM61" s="35"/>
      <c r="AN61" s="36" t="str">
        <f aca="false">IF(AD61&lt;&gt;"Y","Out of scope",IF(AF61="","Awaiting response",IF(AND(OR(AF61="Yes",AF61="Partial"),AG61=""),"No detail: treat as unanswered",IF(AND(AF61="Yes",AI61=""),"No evidence link",IF(AND(AJ61="Gap",OR(AL61="",AM61="")),"Gap needs owner and due date","OK")))))</f>
        <v>Awaiting response</v>
      </c>
    </row>
    <row r="62" customFormat="false" ht="91" hidden="false" customHeight="false" outlineLevel="0" collapsed="false">
      <c r="A62" s="28" t="s">
        <v>535</v>
      </c>
      <c r="B62" s="6" t="s">
        <v>521</v>
      </c>
      <c r="C62" s="6" t="s">
        <v>522</v>
      </c>
      <c r="D62" s="6" t="s">
        <v>151</v>
      </c>
      <c r="E62" s="29" t="s">
        <v>197</v>
      </c>
      <c r="F62" s="29" t="s">
        <v>31</v>
      </c>
      <c r="G62" s="29" t="s">
        <v>38</v>
      </c>
      <c r="H62" s="6" t="s">
        <v>536</v>
      </c>
      <c r="I62" s="6" t="s">
        <v>524</v>
      </c>
      <c r="J62" s="6" t="s">
        <v>525</v>
      </c>
      <c r="K62" s="6" t="s">
        <v>526</v>
      </c>
      <c r="L62" s="29" t="n">
        <v>39</v>
      </c>
      <c r="M62" s="6" t="s">
        <v>527</v>
      </c>
      <c r="N62" s="6" t="s">
        <v>528</v>
      </c>
      <c r="O62" s="6" t="s">
        <v>224</v>
      </c>
      <c r="P62" s="6" t="s">
        <v>529</v>
      </c>
      <c r="Q62" s="6" t="s">
        <v>530</v>
      </c>
      <c r="R62" s="6" t="s">
        <v>531</v>
      </c>
      <c r="S62" s="6" t="s">
        <v>308</v>
      </c>
      <c r="T62" s="6" t="s">
        <v>532</v>
      </c>
      <c r="U62" s="6" t="s">
        <v>533</v>
      </c>
      <c r="V62" s="6" t="s">
        <v>442</v>
      </c>
      <c r="W62" s="6"/>
      <c r="X62" s="6" t="s">
        <v>311</v>
      </c>
      <c r="Y62" s="6"/>
      <c r="Z62" s="6"/>
      <c r="AA62" s="6"/>
      <c r="AB62" s="6"/>
      <c r="AC62" s="6" t="s">
        <v>534</v>
      </c>
      <c r="AD62" s="30" t="s">
        <v>208</v>
      </c>
      <c r="AE62" s="30" t="s">
        <v>208</v>
      </c>
      <c r="AF62" s="31"/>
      <c r="AG62" s="32"/>
      <c r="AH62" s="31"/>
      <c r="AI62" s="32"/>
      <c r="AJ62" s="33" t="s">
        <v>127</v>
      </c>
      <c r="AK62" s="34"/>
      <c r="AL62" s="34"/>
      <c r="AM62" s="35"/>
      <c r="AN62" s="36" t="str">
        <f aca="false">IF(AD62&lt;&gt;"Y","Out of scope",IF(AF62="","Awaiting response",IF(AND(OR(AF62="Yes",AF62="Partial"),AG62=""),"No detail: treat as unanswered",IF(AND(AF62="Yes",AI62=""),"No evidence link",IF(AND(AJ62="Gap",OR(AL62="",AM62="")),"Gap needs owner and due date","OK")))))</f>
        <v>Awaiting response</v>
      </c>
    </row>
    <row r="63" customFormat="false" ht="91" hidden="false" customHeight="false" outlineLevel="0" collapsed="false">
      <c r="A63" s="28" t="s">
        <v>537</v>
      </c>
      <c r="B63" s="6" t="s">
        <v>521</v>
      </c>
      <c r="C63" s="6" t="s">
        <v>522</v>
      </c>
      <c r="D63" s="6" t="s">
        <v>151</v>
      </c>
      <c r="E63" s="29" t="s">
        <v>197</v>
      </c>
      <c r="F63" s="29" t="s">
        <v>31</v>
      </c>
      <c r="G63" s="29" t="s">
        <v>38</v>
      </c>
      <c r="H63" s="6" t="s">
        <v>538</v>
      </c>
      <c r="I63" s="6" t="s">
        <v>524</v>
      </c>
      <c r="J63" s="6" t="s">
        <v>525</v>
      </c>
      <c r="K63" s="6" t="s">
        <v>526</v>
      </c>
      <c r="L63" s="29" t="n">
        <v>39</v>
      </c>
      <c r="M63" s="6" t="s">
        <v>527</v>
      </c>
      <c r="N63" s="6" t="s">
        <v>528</v>
      </c>
      <c r="O63" s="6" t="s">
        <v>224</v>
      </c>
      <c r="P63" s="6" t="s">
        <v>529</v>
      </c>
      <c r="Q63" s="6" t="s">
        <v>530</v>
      </c>
      <c r="R63" s="6" t="s">
        <v>531</v>
      </c>
      <c r="S63" s="6" t="s">
        <v>308</v>
      </c>
      <c r="T63" s="6" t="s">
        <v>532</v>
      </c>
      <c r="U63" s="6" t="s">
        <v>533</v>
      </c>
      <c r="V63" s="6" t="s">
        <v>442</v>
      </c>
      <c r="W63" s="6"/>
      <c r="X63" s="6" t="s">
        <v>311</v>
      </c>
      <c r="Y63" s="6"/>
      <c r="Z63" s="6"/>
      <c r="AA63" s="6"/>
      <c r="AB63" s="6"/>
      <c r="AC63" s="6" t="s">
        <v>534</v>
      </c>
      <c r="AD63" s="30" t="s">
        <v>208</v>
      </c>
      <c r="AE63" s="30" t="s">
        <v>208</v>
      </c>
      <c r="AF63" s="31"/>
      <c r="AG63" s="32"/>
      <c r="AH63" s="31"/>
      <c r="AI63" s="32"/>
      <c r="AJ63" s="33" t="s">
        <v>127</v>
      </c>
      <c r="AK63" s="34"/>
      <c r="AL63" s="34"/>
      <c r="AM63" s="35"/>
      <c r="AN63" s="36" t="str">
        <f aca="false">IF(AD63&lt;&gt;"Y","Out of scope",IF(AF63="","Awaiting response",IF(AND(OR(AF63="Yes",AF63="Partial"),AG63=""),"No detail: treat as unanswered",IF(AND(AF63="Yes",AI63=""),"No evidence link",IF(AND(AJ63="Gap",OR(AL63="",AM63="")),"Gap needs owner and due date","OK")))))</f>
        <v>Awaiting response</v>
      </c>
    </row>
    <row r="64" customFormat="false" ht="91" hidden="false" customHeight="false" outlineLevel="0" collapsed="false">
      <c r="A64" s="28" t="s">
        <v>539</v>
      </c>
      <c r="B64" s="6" t="s">
        <v>521</v>
      </c>
      <c r="C64" s="6" t="s">
        <v>522</v>
      </c>
      <c r="D64" s="6" t="s">
        <v>151</v>
      </c>
      <c r="E64" s="29" t="s">
        <v>197</v>
      </c>
      <c r="F64" s="29" t="s">
        <v>31</v>
      </c>
      <c r="G64" s="29" t="s">
        <v>38</v>
      </c>
      <c r="H64" s="6" t="s">
        <v>540</v>
      </c>
      <c r="I64" s="6" t="s">
        <v>524</v>
      </c>
      <c r="J64" s="6" t="s">
        <v>525</v>
      </c>
      <c r="K64" s="6" t="s">
        <v>526</v>
      </c>
      <c r="L64" s="29" t="n">
        <v>39</v>
      </c>
      <c r="M64" s="6" t="s">
        <v>527</v>
      </c>
      <c r="N64" s="6" t="s">
        <v>528</v>
      </c>
      <c r="O64" s="6" t="s">
        <v>224</v>
      </c>
      <c r="P64" s="6" t="s">
        <v>529</v>
      </c>
      <c r="Q64" s="6" t="s">
        <v>530</v>
      </c>
      <c r="R64" s="6" t="s">
        <v>531</v>
      </c>
      <c r="S64" s="6" t="s">
        <v>308</v>
      </c>
      <c r="T64" s="6" t="s">
        <v>532</v>
      </c>
      <c r="U64" s="6" t="s">
        <v>533</v>
      </c>
      <c r="V64" s="6" t="s">
        <v>442</v>
      </c>
      <c r="W64" s="6"/>
      <c r="X64" s="6" t="s">
        <v>311</v>
      </c>
      <c r="Y64" s="6"/>
      <c r="Z64" s="6"/>
      <c r="AA64" s="6"/>
      <c r="AB64" s="6"/>
      <c r="AC64" s="6" t="s">
        <v>534</v>
      </c>
      <c r="AD64" s="30" t="s">
        <v>208</v>
      </c>
      <c r="AE64" s="30" t="s">
        <v>208</v>
      </c>
      <c r="AF64" s="31"/>
      <c r="AG64" s="32"/>
      <c r="AH64" s="31"/>
      <c r="AI64" s="32"/>
      <c r="AJ64" s="33" t="s">
        <v>127</v>
      </c>
      <c r="AK64" s="34"/>
      <c r="AL64" s="34"/>
      <c r="AM64" s="35"/>
      <c r="AN64" s="36" t="str">
        <f aca="false">IF(AD64&lt;&gt;"Y","Out of scope",IF(AF64="","Awaiting response",IF(AND(OR(AF64="Yes",AF64="Partial"),AG64=""),"No detail: treat as unanswered",IF(AND(AF64="Yes",AI64=""),"No evidence link",IF(AND(AJ64="Gap",OR(AL64="",AM64="")),"Gap needs owner and due date","OK")))))</f>
        <v>Awaiting response</v>
      </c>
    </row>
    <row r="65" customFormat="false" ht="91" hidden="false" customHeight="false" outlineLevel="0" collapsed="false">
      <c r="A65" s="28" t="s">
        <v>541</v>
      </c>
      <c r="B65" s="6" t="s">
        <v>521</v>
      </c>
      <c r="C65" s="6" t="s">
        <v>522</v>
      </c>
      <c r="D65" s="6" t="s">
        <v>151</v>
      </c>
      <c r="E65" s="29" t="s">
        <v>197</v>
      </c>
      <c r="F65" s="29" t="s">
        <v>31</v>
      </c>
      <c r="G65" s="29" t="s">
        <v>38</v>
      </c>
      <c r="H65" s="6" t="s">
        <v>542</v>
      </c>
      <c r="I65" s="6" t="s">
        <v>524</v>
      </c>
      <c r="J65" s="6" t="s">
        <v>525</v>
      </c>
      <c r="K65" s="6" t="s">
        <v>526</v>
      </c>
      <c r="L65" s="29" t="n">
        <v>39</v>
      </c>
      <c r="M65" s="6" t="s">
        <v>527</v>
      </c>
      <c r="N65" s="6" t="s">
        <v>528</v>
      </c>
      <c r="O65" s="6" t="s">
        <v>224</v>
      </c>
      <c r="P65" s="6" t="s">
        <v>529</v>
      </c>
      <c r="Q65" s="6" t="s">
        <v>530</v>
      </c>
      <c r="R65" s="6" t="s">
        <v>531</v>
      </c>
      <c r="S65" s="6" t="s">
        <v>308</v>
      </c>
      <c r="T65" s="6" t="s">
        <v>532</v>
      </c>
      <c r="U65" s="6" t="s">
        <v>533</v>
      </c>
      <c r="V65" s="6" t="s">
        <v>442</v>
      </c>
      <c r="W65" s="6"/>
      <c r="X65" s="6" t="s">
        <v>311</v>
      </c>
      <c r="Y65" s="6"/>
      <c r="Z65" s="6"/>
      <c r="AA65" s="6"/>
      <c r="AB65" s="6"/>
      <c r="AC65" s="6" t="s">
        <v>534</v>
      </c>
      <c r="AD65" s="30" t="s">
        <v>208</v>
      </c>
      <c r="AE65" s="30" t="s">
        <v>208</v>
      </c>
      <c r="AF65" s="31"/>
      <c r="AG65" s="32"/>
      <c r="AH65" s="31"/>
      <c r="AI65" s="32"/>
      <c r="AJ65" s="33" t="s">
        <v>127</v>
      </c>
      <c r="AK65" s="34"/>
      <c r="AL65" s="34"/>
      <c r="AM65" s="35"/>
      <c r="AN65" s="36" t="str">
        <f aca="false">IF(AD65&lt;&gt;"Y","Out of scope",IF(AF65="","Awaiting response",IF(AND(OR(AF65="Yes",AF65="Partial"),AG65=""),"No detail: treat as unanswered",IF(AND(AF65="Yes",AI65=""),"No evidence link",IF(AND(AJ65="Gap",OR(AL65="",AM65="")),"Gap needs owner and due date","OK")))))</f>
        <v>Awaiting response</v>
      </c>
    </row>
    <row r="66" customFormat="false" ht="91" hidden="false" customHeight="false" outlineLevel="0" collapsed="false">
      <c r="A66" s="28" t="s">
        <v>543</v>
      </c>
      <c r="B66" s="6" t="s">
        <v>521</v>
      </c>
      <c r="C66" s="6" t="s">
        <v>522</v>
      </c>
      <c r="D66" s="6" t="s">
        <v>151</v>
      </c>
      <c r="E66" s="29" t="s">
        <v>197</v>
      </c>
      <c r="F66" s="29" t="s">
        <v>31</v>
      </c>
      <c r="G66" s="29" t="s">
        <v>38</v>
      </c>
      <c r="H66" s="6" t="s">
        <v>544</v>
      </c>
      <c r="I66" s="6" t="s">
        <v>524</v>
      </c>
      <c r="J66" s="6" t="s">
        <v>525</v>
      </c>
      <c r="K66" s="6" t="s">
        <v>526</v>
      </c>
      <c r="L66" s="29" t="n">
        <v>39</v>
      </c>
      <c r="M66" s="6" t="s">
        <v>527</v>
      </c>
      <c r="N66" s="6" t="s">
        <v>528</v>
      </c>
      <c r="O66" s="6" t="s">
        <v>224</v>
      </c>
      <c r="P66" s="6" t="s">
        <v>529</v>
      </c>
      <c r="Q66" s="6" t="s">
        <v>530</v>
      </c>
      <c r="R66" s="6" t="s">
        <v>531</v>
      </c>
      <c r="S66" s="6" t="s">
        <v>308</v>
      </c>
      <c r="T66" s="6" t="s">
        <v>532</v>
      </c>
      <c r="U66" s="6" t="s">
        <v>533</v>
      </c>
      <c r="V66" s="6" t="s">
        <v>442</v>
      </c>
      <c r="W66" s="6"/>
      <c r="X66" s="6" t="s">
        <v>311</v>
      </c>
      <c r="Y66" s="6"/>
      <c r="Z66" s="6"/>
      <c r="AA66" s="6"/>
      <c r="AB66" s="6"/>
      <c r="AC66" s="6" t="s">
        <v>534</v>
      </c>
      <c r="AD66" s="30" t="s">
        <v>208</v>
      </c>
      <c r="AE66" s="30" t="s">
        <v>208</v>
      </c>
      <c r="AF66" s="31"/>
      <c r="AG66" s="32"/>
      <c r="AH66" s="31"/>
      <c r="AI66" s="32"/>
      <c r="AJ66" s="33" t="s">
        <v>127</v>
      </c>
      <c r="AK66" s="34"/>
      <c r="AL66" s="34"/>
      <c r="AM66" s="35"/>
      <c r="AN66" s="36" t="str">
        <f aca="false">IF(AD66&lt;&gt;"Y","Out of scope",IF(AF66="","Awaiting response",IF(AND(OR(AF66="Yes",AF66="Partial"),AG66=""),"No detail: treat as unanswered",IF(AND(AF66="Yes",AI66=""),"No evidence link",IF(AND(AJ66="Gap",OR(AL66="",AM66="")),"Gap needs owner and due date","OK")))))</f>
        <v>Awaiting response</v>
      </c>
    </row>
    <row r="67" customFormat="false" ht="46.25" hidden="false" customHeight="false" outlineLevel="0" collapsed="false">
      <c r="A67" s="28" t="s">
        <v>545</v>
      </c>
      <c r="B67" s="6" t="s">
        <v>546</v>
      </c>
      <c r="C67" s="6" t="s">
        <v>547</v>
      </c>
      <c r="D67" s="6" t="s">
        <v>151</v>
      </c>
      <c r="E67" s="29" t="s">
        <v>197</v>
      </c>
      <c r="F67" s="29" t="s">
        <v>31</v>
      </c>
      <c r="G67" s="29" t="s">
        <v>38</v>
      </c>
      <c r="H67" s="6" t="s">
        <v>548</v>
      </c>
      <c r="I67" s="6" t="s">
        <v>549</v>
      </c>
      <c r="J67" s="6" t="s">
        <v>550</v>
      </c>
      <c r="K67" s="6" t="s">
        <v>551</v>
      </c>
      <c r="L67" s="29" t="n">
        <v>10</v>
      </c>
      <c r="M67" s="6" t="s">
        <v>527</v>
      </c>
      <c r="N67" s="6" t="s">
        <v>552</v>
      </c>
      <c r="O67" s="6" t="s">
        <v>553</v>
      </c>
      <c r="P67" s="6" t="s">
        <v>554</v>
      </c>
      <c r="Q67" s="6"/>
      <c r="R67" s="6"/>
      <c r="S67" s="6"/>
      <c r="T67" s="6"/>
      <c r="U67" s="6"/>
      <c r="V67" s="6"/>
      <c r="W67" s="6"/>
      <c r="X67" s="6"/>
      <c r="Y67" s="6"/>
      <c r="Z67" s="6"/>
      <c r="AA67" s="6"/>
      <c r="AB67" s="6"/>
      <c r="AC67" s="6"/>
      <c r="AD67" s="30" t="s">
        <v>208</v>
      </c>
      <c r="AE67" s="30" t="s">
        <v>208</v>
      </c>
      <c r="AF67" s="31"/>
      <c r="AG67" s="32"/>
      <c r="AH67" s="31"/>
      <c r="AI67" s="32"/>
      <c r="AJ67" s="33" t="s">
        <v>127</v>
      </c>
      <c r="AK67" s="34"/>
      <c r="AL67" s="34"/>
      <c r="AM67" s="35"/>
      <c r="AN67" s="36" t="str">
        <f aca="false">IF(AD67&lt;&gt;"Y","Out of scope",IF(AF67="","Awaiting response",IF(AND(OR(AF67="Yes",AF67="Partial"),AG67=""),"No detail: treat as unanswered",IF(AND(AF67="Yes",AI67=""),"No evidence link",IF(AND(AJ67="Gap",OR(AL67="",AM67="")),"Gap needs owner and due date","OK")))))</f>
        <v>Awaiting response</v>
      </c>
    </row>
    <row r="68" customFormat="false" ht="46.25" hidden="false" customHeight="false" outlineLevel="0" collapsed="false">
      <c r="A68" s="28" t="s">
        <v>555</v>
      </c>
      <c r="B68" s="6" t="s">
        <v>546</v>
      </c>
      <c r="C68" s="6" t="s">
        <v>547</v>
      </c>
      <c r="D68" s="6" t="s">
        <v>151</v>
      </c>
      <c r="E68" s="29" t="s">
        <v>197</v>
      </c>
      <c r="F68" s="29" t="s">
        <v>31</v>
      </c>
      <c r="G68" s="29" t="s">
        <v>38</v>
      </c>
      <c r="H68" s="6" t="s">
        <v>556</v>
      </c>
      <c r="I68" s="6" t="s">
        <v>549</v>
      </c>
      <c r="J68" s="6" t="s">
        <v>550</v>
      </c>
      <c r="K68" s="6" t="s">
        <v>551</v>
      </c>
      <c r="L68" s="29" t="n">
        <v>10</v>
      </c>
      <c r="M68" s="6" t="s">
        <v>527</v>
      </c>
      <c r="N68" s="6" t="s">
        <v>552</v>
      </c>
      <c r="O68" s="6" t="s">
        <v>553</v>
      </c>
      <c r="P68" s="6" t="s">
        <v>554</v>
      </c>
      <c r="Q68" s="6"/>
      <c r="R68" s="6"/>
      <c r="S68" s="6"/>
      <c r="T68" s="6"/>
      <c r="U68" s="6"/>
      <c r="V68" s="6"/>
      <c r="W68" s="6"/>
      <c r="X68" s="6"/>
      <c r="Y68" s="6"/>
      <c r="Z68" s="6"/>
      <c r="AA68" s="6"/>
      <c r="AB68" s="6"/>
      <c r="AC68" s="6"/>
      <c r="AD68" s="30" t="s">
        <v>208</v>
      </c>
      <c r="AE68" s="30" t="s">
        <v>208</v>
      </c>
      <c r="AF68" s="31"/>
      <c r="AG68" s="32"/>
      <c r="AH68" s="31"/>
      <c r="AI68" s="32"/>
      <c r="AJ68" s="33" t="s">
        <v>127</v>
      </c>
      <c r="AK68" s="34"/>
      <c r="AL68" s="34"/>
      <c r="AM68" s="35"/>
      <c r="AN68" s="36" t="str">
        <f aca="false">IF(AD68&lt;&gt;"Y","Out of scope",IF(AF68="","Awaiting response",IF(AND(OR(AF68="Yes",AF68="Partial"),AG68=""),"No detail: treat as unanswered",IF(AND(AF68="Yes",AI68=""),"No evidence link",IF(AND(AJ68="Gap",OR(AL68="",AM68="")),"Gap needs owner and due date","OK")))))</f>
        <v>Awaiting response</v>
      </c>
    </row>
    <row r="69" customFormat="false" ht="46.25" hidden="false" customHeight="false" outlineLevel="0" collapsed="false">
      <c r="A69" s="28" t="s">
        <v>557</v>
      </c>
      <c r="B69" s="6" t="s">
        <v>546</v>
      </c>
      <c r="C69" s="6" t="s">
        <v>547</v>
      </c>
      <c r="D69" s="6" t="s">
        <v>151</v>
      </c>
      <c r="E69" s="29" t="s">
        <v>197</v>
      </c>
      <c r="F69" s="29" t="s">
        <v>31</v>
      </c>
      <c r="G69" s="29" t="s">
        <v>38</v>
      </c>
      <c r="H69" s="6" t="s">
        <v>558</v>
      </c>
      <c r="I69" s="6" t="s">
        <v>549</v>
      </c>
      <c r="J69" s="6" t="s">
        <v>550</v>
      </c>
      <c r="K69" s="6" t="s">
        <v>551</v>
      </c>
      <c r="L69" s="29" t="n">
        <v>10</v>
      </c>
      <c r="M69" s="6" t="s">
        <v>527</v>
      </c>
      <c r="N69" s="6" t="s">
        <v>552</v>
      </c>
      <c r="O69" s="6" t="s">
        <v>553</v>
      </c>
      <c r="P69" s="6" t="s">
        <v>554</v>
      </c>
      <c r="Q69" s="6"/>
      <c r="R69" s="6"/>
      <c r="S69" s="6"/>
      <c r="T69" s="6"/>
      <c r="U69" s="6"/>
      <c r="V69" s="6"/>
      <c r="W69" s="6"/>
      <c r="X69" s="6"/>
      <c r="Y69" s="6"/>
      <c r="Z69" s="6"/>
      <c r="AA69" s="6"/>
      <c r="AB69" s="6"/>
      <c r="AC69" s="6"/>
      <c r="AD69" s="30" t="s">
        <v>208</v>
      </c>
      <c r="AE69" s="30" t="s">
        <v>208</v>
      </c>
      <c r="AF69" s="31"/>
      <c r="AG69" s="32"/>
      <c r="AH69" s="31"/>
      <c r="AI69" s="32"/>
      <c r="AJ69" s="33" t="s">
        <v>127</v>
      </c>
      <c r="AK69" s="34"/>
      <c r="AL69" s="34"/>
      <c r="AM69" s="35"/>
      <c r="AN69" s="36" t="str">
        <f aca="false">IF(AD69&lt;&gt;"Y","Out of scope",IF(AF69="","Awaiting response",IF(AND(OR(AF69="Yes",AF69="Partial"),AG69=""),"No detail: treat as unanswered",IF(AND(AF69="Yes",AI69=""),"No evidence link",IF(AND(AJ69="Gap",OR(AL69="",AM69="")),"Gap needs owner and due date","OK")))))</f>
        <v>Awaiting response</v>
      </c>
    </row>
    <row r="70" customFormat="false" ht="46.25" hidden="false" customHeight="false" outlineLevel="0" collapsed="false">
      <c r="A70" s="28" t="s">
        <v>559</v>
      </c>
      <c r="B70" s="6" t="s">
        <v>546</v>
      </c>
      <c r="C70" s="6" t="s">
        <v>547</v>
      </c>
      <c r="D70" s="6" t="s">
        <v>151</v>
      </c>
      <c r="E70" s="29" t="s">
        <v>197</v>
      </c>
      <c r="F70" s="29" t="s">
        <v>31</v>
      </c>
      <c r="G70" s="29" t="s">
        <v>38</v>
      </c>
      <c r="H70" s="6" t="s">
        <v>560</v>
      </c>
      <c r="I70" s="6" t="s">
        <v>549</v>
      </c>
      <c r="J70" s="6" t="s">
        <v>550</v>
      </c>
      <c r="K70" s="6" t="s">
        <v>551</v>
      </c>
      <c r="L70" s="29" t="n">
        <v>10</v>
      </c>
      <c r="M70" s="6" t="s">
        <v>527</v>
      </c>
      <c r="N70" s="6" t="s">
        <v>552</v>
      </c>
      <c r="O70" s="6" t="s">
        <v>553</v>
      </c>
      <c r="P70" s="6" t="s">
        <v>554</v>
      </c>
      <c r="Q70" s="6"/>
      <c r="R70" s="6"/>
      <c r="S70" s="6"/>
      <c r="T70" s="6"/>
      <c r="U70" s="6"/>
      <c r="V70" s="6"/>
      <c r="W70" s="6"/>
      <c r="X70" s="6"/>
      <c r="Y70" s="6"/>
      <c r="Z70" s="6"/>
      <c r="AA70" s="6"/>
      <c r="AB70" s="6"/>
      <c r="AC70" s="6"/>
      <c r="AD70" s="30" t="s">
        <v>208</v>
      </c>
      <c r="AE70" s="30" t="s">
        <v>208</v>
      </c>
      <c r="AF70" s="31"/>
      <c r="AG70" s="32"/>
      <c r="AH70" s="31"/>
      <c r="AI70" s="32"/>
      <c r="AJ70" s="33" t="s">
        <v>127</v>
      </c>
      <c r="AK70" s="34"/>
      <c r="AL70" s="34"/>
      <c r="AM70" s="35"/>
      <c r="AN70" s="36" t="str">
        <f aca="false">IF(AD70&lt;&gt;"Y","Out of scope",IF(AF70="","Awaiting response",IF(AND(OR(AF70="Yes",AF70="Partial"),AG70=""),"No detail: treat as unanswered",IF(AND(AF70="Yes",AI70=""),"No evidence link",IF(AND(AJ70="Gap",OR(AL70="",AM70="")),"Gap needs owner and due date","OK")))))</f>
        <v>Awaiting response</v>
      </c>
    </row>
    <row r="71" customFormat="false" ht="46.25" hidden="false" customHeight="false" outlineLevel="0" collapsed="false">
      <c r="A71" s="28" t="s">
        <v>561</v>
      </c>
      <c r="B71" s="6" t="s">
        <v>562</v>
      </c>
      <c r="C71" s="6" t="s">
        <v>563</v>
      </c>
      <c r="D71" s="6" t="s">
        <v>151</v>
      </c>
      <c r="E71" s="29" t="s">
        <v>232</v>
      </c>
      <c r="F71" s="29" t="s">
        <v>31</v>
      </c>
      <c r="G71" s="29" t="s">
        <v>38</v>
      </c>
      <c r="H71" s="6" t="s">
        <v>564</v>
      </c>
      <c r="I71" s="6" t="s">
        <v>565</v>
      </c>
      <c r="J71" s="6" t="s">
        <v>566</v>
      </c>
      <c r="K71" s="6" t="s">
        <v>567</v>
      </c>
      <c r="L71" s="29" t="n">
        <v>15</v>
      </c>
      <c r="M71" s="6" t="s">
        <v>568</v>
      </c>
      <c r="N71" s="6" t="s">
        <v>569</v>
      </c>
      <c r="O71" s="6" t="s">
        <v>570</v>
      </c>
      <c r="P71" s="6" t="s">
        <v>571</v>
      </c>
      <c r="Q71" s="6"/>
      <c r="R71" s="6"/>
      <c r="S71" s="6"/>
      <c r="T71" s="6"/>
      <c r="U71" s="6"/>
      <c r="V71" s="6"/>
      <c r="W71" s="6"/>
      <c r="X71" s="6"/>
      <c r="Y71" s="6"/>
      <c r="Z71" s="6"/>
      <c r="AA71" s="6"/>
      <c r="AB71" s="6"/>
      <c r="AC71" s="6"/>
      <c r="AD71" s="30" t="s">
        <v>208</v>
      </c>
      <c r="AE71" s="30" t="s">
        <v>237</v>
      </c>
      <c r="AF71" s="31"/>
      <c r="AG71" s="32"/>
      <c r="AH71" s="31"/>
      <c r="AI71" s="32"/>
      <c r="AJ71" s="33" t="s">
        <v>127</v>
      </c>
      <c r="AK71" s="34"/>
      <c r="AL71" s="34"/>
      <c r="AM71" s="35"/>
      <c r="AN71" s="36" t="str">
        <f aca="false">IF(AD71&lt;&gt;"Y","Out of scope",IF(AF71="","Awaiting response",IF(AND(OR(AF71="Yes",AF71="Partial"),AG71=""),"No detail: treat as unanswered",IF(AND(AF71="Yes",AI71=""),"No evidence link",IF(AND(AJ71="Gap",OR(AL71="",AM71="")),"Gap needs owner and due date","OK")))))</f>
        <v>Awaiting response</v>
      </c>
    </row>
    <row r="72" customFormat="false" ht="46.25" hidden="false" customHeight="false" outlineLevel="0" collapsed="false">
      <c r="A72" s="28" t="s">
        <v>572</v>
      </c>
      <c r="B72" s="6" t="s">
        <v>562</v>
      </c>
      <c r="C72" s="6" t="s">
        <v>563</v>
      </c>
      <c r="D72" s="6" t="s">
        <v>151</v>
      </c>
      <c r="E72" s="29" t="s">
        <v>232</v>
      </c>
      <c r="F72" s="29" t="s">
        <v>31</v>
      </c>
      <c r="G72" s="29" t="s">
        <v>38</v>
      </c>
      <c r="H72" s="6" t="s">
        <v>573</v>
      </c>
      <c r="I72" s="6" t="s">
        <v>565</v>
      </c>
      <c r="J72" s="6" t="s">
        <v>566</v>
      </c>
      <c r="K72" s="6" t="s">
        <v>567</v>
      </c>
      <c r="L72" s="29" t="n">
        <v>15</v>
      </c>
      <c r="M72" s="6" t="s">
        <v>568</v>
      </c>
      <c r="N72" s="6" t="s">
        <v>569</v>
      </c>
      <c r="O72" s="6" t="s">
        <v>570</v>
      </c>
      <c r="P72" s="6" t="s">
        <v>571</v>
      </c>
      <c r="Q72" s="6"/>
      <c r="R72" s="6"/>
      <c r="S72" s="6"/>
      <c r="T72" s="6"/>
      <c r="U72" s="6"/>
      <c r="V72" s="6"/>
      <c r="W72" s="6"/>
      <c r="X72" s="6"/>
      <c r="Y72" s="6"/>
      <c r="Z72" s="6"/>
      <c r="AA72" s="6"/>
      <c r="AB72" s="6"/>
      <c r="AC72" s="6"/>
      <c r="AD72" s="30" t="s">
        <v>208</v>
      </c>
      <c r="AE72" s="30" t="s">
        <v>237</v>
      </c>
      <c r="AF72" s="31"/>
      <c r="AG72" s="32"/>
      <c r="AH72" s="31"/>
      <c r="AI72" s="32"/>
      <c r="AJ72" s="33" t="s">
        <v>127</v>
      </c>
      <c r="AK72" s="34"/>
      <c r="AL72" s="34"/>
      <c r="AM72" s="35"/>
      <c r="AN72" s="36" t="str">
        <f aca="false">IF(AD72&lt;&gt;"Y","Out of scope",IF(AF72="","Awaiting response",IF(AND(OR(AF72="Yes",AF72="Partial"),AG72=""),"No detail: treat as unanswered",IF(AND(AF72="Yes",AI72=""),"No evidence link",IF(AND(AJ72="Gap",OR(AL72="",AM72="")),"Gap needs owner and due date","OK")))))</f>
        <v>Awaiting response</v>
      </c>
    </row>
    <row r="73" customFormat="false" ht="46.25" hidden="false" customHeight="false" outlineLevel="0" collapsed="false">
      <c r="A73" s="28" t="s">
        <v>574</v>
      </c>
      <c r="B73" s="6" t="s">
        <v>562</v>
      </c>
      <c r="C73" s="6" t="s">
        <v>563</v>
      </c>
      <c r="D73" s="6" t="s">
        <v>151</v>
      </c>
      <c r="E73" s="29" t="s">
        <v>232</v>
      </c>
      <c r="F73" s="29" t="s">
        <v>31</v>
      </c>
      <c r="G73" s="29" t="s">
        <v>38</v>
      </c>
      <c r="H73" s="6" t="s">
        <v>575</v>
      </c>
      <c r="I73" s="6" t="s">
        <v>565</v>
      </c>
      <c r="J73" s="6" t="s">
        <v>566</v>
      </c>
      <c r="K73" s="6" t="s">
        <v>567</v>
      </c>
      <c r="L73" s="29" t="n">
        <v>15</v>
      </c>
      <c r="M73" s="6" t="s">
        <v>568</v>
      </c>
      <c r="N73" s="6" t="s">
        <v>569</v>
      </c>
      <c r="O73" s="6" t="s">
        <v>570</v>
      </c>
      <c r="P73" s="6" t="s">
        <v>571</v>
      </c>
      <c r="Q73" s="6"/>
      <c r="R73" s="6"/>
      <c r="S73" s="6"/>
      <c r="T73" s="6"/>
      <c r="U73" s="6"/>
      <c r="V73" s="6"/>
      <c r="W73" s="6"/>
      <c r="X73" s="6"/>
      <c r="Y73" s="6"/>
      <c r="Z73" s="6"/>
      <c r="AA73" s="6"/>
      <c r="AB73" s="6"/>
      <c r="AC73" s="6"/>
      <c r="AD73" s="30" t="s">
        <v>208</v>
      </c>
      <c r="AE73" s="30" t="s">
        <v>237</v>
      </c>
      <c r="AF73" s="31"/>
      <c r="AG73" s="32"/>
      <c r="AH73" s="31"/>
      <c r="AI73" s="32"/>
      <c r="AJ73" s="33" t="s">
        <v>127</v>
      </c>
      <c r="AK73" s="34"/>
      <c r="AL73" s="34"/>
      <c r="AM73" s="35"/>
      <c r="AN73" s="36" t="str">
        <f aca="false">IF(AD73&lt;&gt;"Y","Out of scope",IF(AF73="","Awaiting response",IF(AND(OR(AF73="Yes",AF73="Partial"),AG73=""),"No detail: treat as unanswered",IF(AND(AF73="Yes",AI73=""),"No evidence link",IF(AND(AJ73="Gap",OR(AL73="",AM73="")),"Gap needs owner and due date","OK")))))</f>
        <v>Awaiting response</v>
      </c>
    </row>
    <row r="74" customFormat="false" ht="46.25" hidden="false" customHeight="false" outlineLevel="0" collapsed="false">
      <c r="A74" s="28" t="s">
        <v>576</v>
      </c>
      <c r="B74" s="6" t="s">
        <v>562</v>
      </c>
      <c r="C74" s="6" t="s">
        <v>563</v>
      </c>
      <c r="D74" s="6" t="s">
        <v>151</v>
      </c>
      <c r="E74" s="29" t="s">
        <v>232</v>
      </c>
      <c r="F74" s="29" t="s">
        <v>31</v>
      </c>
      <c r="G74" s="29" t="s">
        <v>38</v>
      </c>
      <c r="H74" s="6" t="s">
        <v>577</v>
      </c>
      <c r="I74" s="6" t="s">
        <v>565</v>
      </c>
      <c r="J74" s="6" t="s">
        <v>566</v>
      </c>
      <c r="K74" s="6" t="s">
        <v>567</v>
      </c>
      <c r="L74" s="29" t="n">
        <v>15</v>
      </c>
      <c r="M74" s="6" t="s">
        <v>568</v>
      </c>
      <c r="N74" s="6" t="s">
        <v>569</v>
      </c>
      <c r="O74" s="6" t="s">
        <v>570</v>
      </c>
      <c r="P74" s="6" t="s">
        <v>571</v>
      </c>
      <c r="Q74" s="6"/>
      <c r="R74" s="6"/>
      <c r="S74" s="6"/>
      <c r="T74" s="6"/>
      <c r="U74" s="6"/>
      <c r="V74" s="6"/>
      <c r="W74" s="6"/>
      <c r="X74" s="6"/>
      <c r="Y74" s="6"/>
      <c r="Z74" s="6"/>
      <c r="AA74" s="6"/>
      <c r="AB74" s="6"/>
      <c r="AC74" s="6"/>
      <c r="AD74" s="30" t="s">
        <v>208</v>
      </c>
      <c r="AE74" s="30" t="s">
        <v>237</v>
      </c>
      <c r="AF74" s="31"/>
      <c r="AG74" s="32"/>
      <c r="AH74" s="31"/>
      <c r="AI74" s="32"/>
      <c r="AJ74" s="33" t="s">
        <v>127</v>
      </c>
      <c r="AK74" s="34"/>
      <c r="AL74" s="34"/>
      <c r="AM74" s="35"/>
      <c r="AN74" s="36" t="str">
        <f aca="false">IF(AD74&lt;&gt;"Y","Out of scope",IF(AF74="","Awaiting response",IF(AND(OR(AF74="Yes",AF74="Partial"),AG74=""),"No detail: treat as unanswered",IF(AND(AF74="Yes",AI74=""),"No evidence link",IF(AND(AJ74="Gap",OR(AL74="",AM74="")),"Gap needs owner and due date","OK")))))</f>
        <v>Awaiting response</v>
      </c>
    </row>
    <row r="75" customFormat="false" ht="46.25" hidden="false" customHeight="false" outlineLevel="0" collapsed="false">
      <c r="A75" s="28" t="s">
        <v>578</v>
      </c>
      <c r="B75" s="6" t="s">
        <v>562</v>
      </c>
      <c r="C75" s="6" t="s">
        <v>563</v>
      </c>
      <c r="D75" s="6" t="s">
        <v>151</v>
      </c>
      <c r="E75" s="29" t="s">
        <v>232</v>
      </c>
      <c r="F75" s="29" t="s">
        <v>31</v>
      </c>
      <c r="G75" s="29" t="s">
        <v>38</v>
      </c>
      <c r="H75" s="6" t="s">
        <v>579</v>
      </c>
      <c r="I75" s="6" t="s">
        <v>565</v>
      </c>
      <c r="J75" s="6" t="s">
        <v>566</v>
      </c>
      <c r="K75" s="6" t="s">
        <v>567</v>
      </c>
      <c r="L75" s="29" t="n">
        <v>15</v>
      </c>
      <c r="M75" s="6" t="s">
        <v>568</v>
      </c>
      <c r="N75" s="6" t="s">
        <v>569</v>
      </c>
      <c r="O75" s="6" t="s">
        <v>570</v>
      </c>
      <c r="P75" s="6" t="s">
        <v>571</v>
      </c>
      <c r="Q75" s="6"/>
      <c r="R75" s="6"/>
      <c r="S75" s="6"/>
      <c r="T75" s="6"/>
      <c r="U75" s="6"/>
      <c r="V75" s="6"/>
      <c r="W75" s="6"/>
      <c r="X75" s="6"/>
      <c r="Y75" s="6"/>
      <c r="Z75" s="6"/>
      <c r="AA75" s="6"/>
      <c r="AB75" s="6"/>
      <c r="AC75" s="6"/>
      <c r="AD75" s="30" t="s">
        <v>208</v>
      </c>
      <c r="AE75" s="30" t="s">
        <v>237</v>
      </c>
      <c r="AF75" s="31"/>
      <c r="AG75" s="32"/>
      <c r="AH75" s="31"/>
      <c r="AI75" s="32"/>
      <c r="AJ75" s="33" t="s">
        <v>127</v>
      </c>
      <c r="AK75" s="34"/>
      <c r="AL75" s="34"/>
      <c r="AM75" s="35"/>
      <c r="AN75" s="36" t="str">
        <f aca="false">IF(AD75&lt;&gt;"Y","Out of scope",IF(AF75="","Awaiting response",IF(AND(OR(AF75="Yes",AF75="Partial"),AG75=""),"No detail: treat as unanswered",IF(AND(AF75="Yes",AI75=""),"No evidence link",IF(AND(AJ75="Gap",OR(AL75="",AM75="")),"Gap needs owner and due date","OK")))))</f>
        <v>Awaiting response</v>
      </c>
    </row>
    <row r="76" customFormat="false" ht="46.25" hidden="false" customHeight="false" outlineLevel="0" collapsed="false">
      <c r="A76" s="28" t="s">
        <v>580</v>
      </c>
      <c r="B76" s="6" t="s">
        <v>581</v>
      </c>
      <c r="C76" s="6" t="s">
        <v>582</v>
      </c>
      <c r="D76" s="6" t="s">
        <v>148</v>
      </c>
      <c r="E76" s="29" t="s">
        <v>197</v>
      </c>
      <c r="F76" s="29" t="s">
        <v>31</v>
      </c>
      <c r="G76" s="29" t="s">
        <v>38</v>
      </c>
      <c r="H76" s="6" t="s">
        <v>583</v>
      </c>
      <c r="I76" s="6" t="s">
        <v>584</v>
      </c>
      <c r="J76" s="6" t="s">
        <v>585</v>
      </c>
      <c r="K76" s="6" t="s">
        <v>586</v>
      </c>
      <c r="L76" s="29" t="n">
        <v>14</v>
      </c>
      <c r="M76" s="6" t="s">
        <v>587</v>
      </c>
      <c r="N76" s="6" t="s">
        <v>261</v>
      </c>
      <c r="O76" s="6" t="s">
        <v>588</v>
      </c>
      <c r="P76" s="6" t="s">
        <v>589</v>
      </c>
      <c r="Q76" s="6"/>
      <c r="R76" s="6"/>
      <c r="S76" s="6"/>
      <c r="T76" s="6"/>
      <c r="U76" s="6"/>
      <c r="V76" s="6"/>
      <c r="W76" s="6"/>
      <c r="X76" s="6"/>
      <c r="Y76" s="6"/>
      <c r="Z76" s="6"/>
      <c r="AA76" s="6"/>
      <c r="AB76" s="6"/>
      <c r="AC76" s="6" t="s">
        <v>590</v>
      </c>
      <c r="AD76" s="30" t="s">
        <v>208</v>
      </c>
      <c r="AE76" s="30" t="s">
        <v>208</v>
      </c>
      <c r="AF76" s="31"/>
      <c r="AG76" s="32"/>
      <c r="AH76" s="31"/>
      <c r="AI76" s="32"/>
      <c r="AJ76" s="33" t="s">
        <v>127</v>
      </c>
      <c r="AK76" s="34"/>
      <c r="AL76" s="34"/>
      <c r="AM76" s="35"/>
      <c r="AN76" s="36" t="str">
        <f aca="false">IF(AD76&lt;&gt;"Y","Out of scope",IF(AF76="","Awaiting response",IF(AND(OR(AF76="Yes",AF76="Partial"),AG76=""),"No detail: treat as unanswered",IF(AND(AF76="Yes",AI76=""),"No evidence link",IF(AND(AJ76="Gap",OR(AL76="",AM76="")),"Gap needs owner and due date","OK")))))</f>
        <v>Awaiting response</v>
      </c>
    </row>
    <row r="77" customFormat="false" ht="46.25" hidden="false" customHeight="false" outlineLevel="0" collapsed="false">
      <c r="A77" s="28" t="s">
        <v>591</v>
      </c>
      <c r="B77" s="6" t="s">
        <v>581</v>
      </c>
      <c r="C77" s="6" t="s">
        <v>582</v>
      </c>
      <c r="D77" s="6" t="s">
        <v>148</v>
      </c>
      <c r="E77" s="29" t="s">
        <v>197</v>
      </c>
      <c r="F77" s="29" t="s">
        <v>31</v>
      </c>
      <c r="G77" s="29" t="s">
        <v>38</v>
      </c>
      <c r="H77" s="6" t="s">
        <v>592</v>
      </c>
      <c r="I77" s="6" t="s">
        <v>584</v>
      </c>
      <c r="J77" s="6" t="s">
        <v>585</v>
      </c>
      <c r="K77" s="6" t="s">
        <v>586</v>
      </c>
      <c r="L77" s="29" t="n">
        <v>14</v>
      </c>
      <c r="M77" s="6" t="s">
        <v>587</v>
      </c>
      <c r="N77" s="6" t="s">
        <v>261</v>
      </c>
      <c r="O77" s="6" t="s">
        <v>588</v>
      </c>
      <c r="P77" s="6" t="s">
        <v>589</v>
      </c>
      <c r="Q77" s="6"/>
      <c r="R77" s="6"/>
      <c r="S77" s="6"/>
      <c r="T77" s="6"/>
      <c r="U77" s="6"/>
      <c r="V77" s="6"/>
      <c r="W77" s="6"/>
      <c r="X77" s="6"/>
      <c r="Y77" s="6"/>
      <c r="Z77" s="6"/>
      <c r="AA77" s="6"/>
      <c r="AB77" s="6"/>
      <c r="AC77" s="6" t="s">
        <v>590</v>
      </c>
      <c r="AD77" s="30" t="s">
        <v>208</v>
      </c>
      <c r="AE77" s="30" t="s">
        <v>208</v>
      </c>
      <c r="AF77" s="31"/>
      <c r="AG77" s="32"/>
      <c r="AH77" s="31"/>
      <c r="AI77" s="32"/>
      <c r="AJ77" s="33" t="s">
        <v>127</v>
      </c>
      <c r="AK77" s="34"/>
      <c r="AL77" s="34"/>
      <c r="AM77" s="35"/>
      <c r="AN77" s="36" t="str">
        <f aca="false">IF(AD77&lt;&gt;"Y","Out of scope",IF(AF77="","Awaiting response",IF(AND(OR(AF77="Yes",AF77="Partial"),AG77=""),"No detail: treat as unanswered",IF(AND(AF77="Yes",AI77=""),"No evidence link",IF(AND(AJ77="Gap",OR(AL77="",AM77="")),"Gap needs owner and due date","OK")))))</f>
        <v>Awaiting response</v>
      </c>
    </row>
    <row r="78" customFormat="false" ht="46.25" hidden="false" customHeight="false" outlineLevel="0" collapsed="false">
      <c r="A78" s="28" t="s">
        <v>593</v>
      </c>
      <c r="B78" s="6" t="s">
        <v>581</v>
      </c>
      <c r="C78" s="6" t="s">
        <v>582</v>
      </c>
      <c r="D78" s="6" t="s">
        <v>148</v>
      </c>
      <c r="E78" s="29" t="s">
        <v>197</v>
      </c>
      <c r="F78" s="29" t="s">
        <v>31</v>
      </c>
      <c r="G78" s="29" t="s">
        <v>38</v>
      </c>
      <c r="H78" s="6" t="s">
        <v>594</v>
      </c>
      <c r="I78" s="6" t="s">
        <v>584</v>
      </c>
      <c r="J78" s="6" t="s">
        <v>585</v>
      </c>
      <c r="K78" s="6" t="s">
        <v>586</v>
      </c>
      <c r="L78" s="29" t="n">
        <v>14</v>
      </c>
      <c r="M78" s="6" t="s">
        <v>587</v>
      </c>
      <c r="N78" s="6" t="s">
        <v>261</v>
      </c>
      <c r="O78" s="6" t="s">
        <v>588</v>
      </c>
      <c r="P78" s="6" t="s">
        <v>589</v>
      </c>
      <c r="Q78" s="6"/>
      <c r="R78" s="6"/>
      <c r="S78" s="6"/>
      <c r="T78" s="6"/>
      <c r="U78" s="6"/>
      <c r="V78" s="6"/>
      <c r="W78" s="6"/>
      <c r="X78" s="6"/>
      <c r="Y78" s="6"/>
      <c r="Z78" s="6"/>
      <c r="AA78" s="6"/>
      <c r="AB78" s="6"/>
      <c r="AC78" s="6" t="s">
        <v>590</v>
      </c>
      <c r="AD78" s="30" t="s">
        <v>208</v>
      </c>
      <c r="AE78" s="30" t="s">
        <v>208</v>
      </c>
      <c r="AF78" s="31"/>
      <c r="AG78" s="32"/>
      <c r="AH78" s="31"/>
      <c r="AI78" s="32"/>
      <c r="AJ78" s="33" t="s">
        <v>127</v>
      </c>
      <c r="AK78" s="34"/>
      <c r="AL78" s="34"/>
      <c r="AM78" s="35"/>
      <c r="AN78" s="36" t="str">
        <f aca="false">IF(AD78&lt;&gt;"Y","Out of scope",IF(AF78="","Awaiting response",IF(AND(OR(AF78="Yes",AF78="Partial"),AG78=""),"No detail: treat as unanswered",IF(AND(AF78="Yes",AI78=""),"No evidence link",IF(AND(AJ78="Gap",OR(AL78="",AM78="")),"Gap needs owner and due date","OK")))))</f>
        <v>Awaiting response</v>
      </c>
    </row>
    <row r="79" customFormat="false" ht="46.25" hidden="false" customHeight="false" outlineLevel="0" collapsed="false">
      <c r="A79" s="28" t="s">
        <v>595</v>
      </c>
      <c r="B79" s="6" t="s">
        <v>581</v>
      </c>
      <c r="C79" s="6" t="s">
        <v>582</v>
      </c>
      <c r="D79" s="6" t="s">
        <v>148</v>
      </c>
      <c r="E79" s="29" t="s">
        <v>197</v>
      </c>
      <c r="F79" s="29" t="s">
        <v>31</v>
      </c>
      <c r="G79" s="29" t="s">
        <v>38</v>
      </c>
      <c r="H79" s="6" t="s">
        <v>596</v>
      </c>
      <c r="I79" s="6" t="s">
        <v>584</v>
      </c>
      <c r="J79" s="6" t="s">
        <v>585</v>
      </c>
      <c r="K79" s="6" t="s">
        <v>586</v>
      </c>
      <c r="L79" s="29" t="n">
        <v>14</v>
      </c>
      <c r="M79" s="6" t="s">
        <v>587</v>
      </c>
      <c r="N79" s="6" t="s">
        <v>261</v>
      </c>
      <c r="O79" s="6" t="s">
        <v>588</v>
      </c>
      <c r="P79" s="6" t="s">
        <v>589</v>
      </c>
      <c r="Q79" s="6"/>
      <c r="R79" s="6"/>
      <c r="S79" s="6"/>
      <c r="T79" s="6"/>
      <c r="U79" s="6"/>
      <c r="V79" s="6"/>
      <c r="W79" s="6"/>
      <c r="X79" s="6"/>
      <c r="Y79" s="6"/>
      <c r="Z79" s="6"/>
      <c r="AA79" s="6"/>
      <c r="AB79" s="6"/>
      <c r="AC79" s="6" t="s">
        <v>590</v>
      </c>
      <c r="AD79" s="30" t="s">
        <v>208</v>
      </c>
      <c r="AE79" s="30" t="s">
        <v>208</v>
      </c>
      <c r="AF79" s="31"/>
      <c r="AG79" s="32"/>
      <c r="AH79" s="31"/>
      <c r="AI79" s="32"/>
      <c r="AJ79" s="33" t="s">
        <v>127</v>
      </c>
      <c r="AK79" s="34"/>
      <c r="AL79" s="34"/>
      <c r="AM79" s="35"/>
      <c r="AN79" s="36" t="str">
        <f aca="false">IF(AD79&lt;&gt;"Y","Out of scope",IF(AF79="","Awaiting response",IF(AND(OR(AF79="Yes",AF79="Partial"),AG79=""),"No detail: treat as unanswered",IF(AND(AF79="Yes",AI79=""),"No evidence link",IF(AND(AJ79="Gap",OR(AL79="",AM79="")),"Gap needs owner and due date","OK")))))</f>
        <v>Awaiting response</v>
      </c>
    </row>
    <row r="80" customFormat="false" ht="46.25" hidden="false" customHeight="false" outlineLevel="0" collapsed="false">
      <c r="A80" s="28" t="s">
        <v>597</v>
      </c>
      <c r="B80" s="6" t="s">
        <v>581</v>
      </c>
      <c r="C80" s="6" t="s">
        <v>582</v>
      </c>
      <c r="D80" s="6" t="s">
        <v>148</v>
      </c>
      <c r="E80" s="29" t="s">
        <v>197</v>
      </c>
      <c r="F80" s="29" t="s">
        <v>31</v>
      </c>
      <c r="G80" s="29" t="s">
        <v>38</v>
      </c>
      <c r="H80" s="6" t="s">
        <v>598</v>
      </c>
      <c r="I80" s="6" t="s">
        <v>584</v>
      </c>
      <c r="J80" s="6" t="s">
        <v>585</v>
      </c>
      <c r="K80" s="6" t="s">
        <v>586</v>
      </c>
      <c r="L80" s="29" t="n">
        <v>14</v>
      </c>
      <c r="M80" s="6" t="s">
        <v>587</v>
      </c>
      <c r="N80" s="6" t="s">
        <v>261</v>
      </c>
      <c r="O80" s="6" t="s">
        <v>588</v>
      </c>
      <c r="P80" s="6" t="s">
        <v>589</v>
      </c>
      <c r="Q80" s="6"/>
      <c r="R80" s="6"/>
      <c r="S80" s="6"/>
      <c r="T80" s="6"/>
      <c r="U80" s="6"/>
      <c r="V80" s="6"/>
      <c r="W80" s="6"/>
      <c r="X80" s="6"/>
      <c r="Y80" s="6"/>
      <c r="Z80" s="6"/>
      <c r="AA80" s="6"/>
      <c r="AB80" s="6"/>
      <c r="AC80" s="6" t="s">
        <v>590</v>
      </c>
      <c r="AD80" s="30" t="s">
        <v>208</v>
      </c>
      <c r="AE80" s="30" t="s">
        <v>208</v>
      </c>
      <c r="AF80" s="31"/>
      <c r="AG80" s="32"/>
      <c r="AH80" s="31"/>
      <c r="AI80" s="32"/>
      <c r="AJ80" s="33" t="s">
        <v>127</v>
      </c>
      <c r="AK80" s="34"/>
      <c r="AL80" s="34"/>
      <c r="AM80" s="35"/>
      <c r="AN80" s="36" t="str">
        <f aca="false">IF(AD80&lt;&gt;"Y","Out of scope",IF(AF80="","Awaiting response",IF(AND(OR(AF80="Yes",AF80="Partial"),AG80=""),"No detail: treat as unanswered",IF(AND(AF80="Yes",AI80=""),"No evidence link",IF(AND(AJ80="Gap",OR(AL80="",AM80="")),"Gap needs owner and due date","OK")))))</f>
        <v>Awaiting response</v>
      </c>
    </row>
    <row r="81" customFormat="false" ht="57.45" hidden="false" customHeight="false" outlineLevel="0" collapsed="false">
      <c r="A81" s="28" t="s">
        <v>599</v>
      </c>
      <c r="B81" s="6" t="s">
        <v>600</v>
      </c>
      <c r="C81" s="6" t="s">
        <v>601</v>
      </c>
      <c r="D81" s="6" t="s">
        <v>148</v>
      </c>
      <c r="E81" s="29" t="s">
        <v>232</v>
      </c>
      <c r="F81" s="29" t="s">
        <v>31</v>
      </c>
      <c r="G81" s="29" t="s">
        <v>38</v>
      </c>
      <c r="H81" s="6" t="s">
        <v>602</v>
      </c>
      <c r="I81" s="6" t="s">
        <v>603</v>
      </c>
      <c r="J81" s="6" t="s">
        <v>604</v>
      </c>
      <c r="K81" s="6" t="s">
        <v>605</v>
      </c>
      <c r="L81" s="29" t="n">
        <v>28</v>
      </c>
      <c r="M81" s="6" t="s">
        <v>587</v>
      </c>
      <c r="N81" s="6" t="s">
        <v>606</v>
      </c>
      <c r="O81" s="6" t="s">
        <v>607</v>
      </c>
      <c r="P81" s="6" t="s">
        <v>608</v>
      </c>
      <c r="Q81" s="6"/>
      <c r="R81" s="6"/>
      <c r="S81" s="6"/>
      <c r="T81" s="6"/>
      <c r="U81" s="6"/>
      <c r="V81" s="6"/>
      <c r="W81" s="6"/>
      <c r="X81" s="6"/>
      <c r="Y81" s="6"/>
      <c r="Z81" s="6"/>
      <c r="AA81" s="6"/>
      <c r="AB81" s="6"/>
      <c r="AC81" s="6"/>
      <c r="AD81" s="30" t="s">
        <v>208</v>
      </c>
      <c r="AE81" s="30" t="s">
        <v>237</v>
      </c>
      <c r="AF81" s="31"/>
      <c r="AG81" s="32"/>
      <c r="AH81" s="31"/>
      <c r="AI81" s="32"/>
      <c r="AJ81" s="33" t="s">
        <v>127</v>
      </c>
      <c r="AK81" s="34"/>
      <c r="AL81" s="34"/>
      <c r="AM81" s="35"/>
      <c r="AN81" s="36" t="str">
        <f aca="false">IF(AD81&lt;&gt;"Y","Out of scope",IF(AF81="","Awaiting response",IF(AND(OR(AF81="Yes",AF81="Partial"),AG81=""),"No detail: treat as unanswered",IF(AND(AF81="Yes",AI81=""),"No evidence link",IF(AND(AJ81="Gap",OR(AL81="",AM81="")),"Gap needs owner and due date","OK")))))</f>
        <v>Awaiting response</v>
      </c>
    </row>
    <row r="82" customFormat="false" ht="57.45" hidden="false" customHeight="false" outlineLevel="0" collapsed="false">
      <c r="A82" s="28" t="s">
        <v>609</v>
      </c>
      <c r="B82" s="6" t="s">
        <v>600</v>
      </c>
      <c r="C82" s="6" t="s">
        <v>601</v>
      </c>
      <c r="D82" s="6" t="s">
        <v>148</v>
      </c>
      <c r="E82" s="29" t="s">
        <v>232</v>
      </c>
      <c r="F82" s="29" t="s">
        <v>31</v>
      </c>
      <c r="G82" s="29" t="s">
        <v>38</v>
      </c>
      <c r="H82" s="6" t="s">
        <v>610</v>
      </c>
      <c r="I82" s="6" t="s">
        <v>603</v>
      </c>
      <c r="J82" s="6" t="s">
        <v>604</v>
      </c>
      <c r="K82" s="6" t="s">
        <v>605</v>
      </c>
      <c r="L82" s="29" t="n">
        <v>28</v>
      </c>
      <c r="M82" s="6" t="s">
        <v>587</v>
      </c>
      <c r="N82" s="6" t="s">
        <v>606</v>
      </c>
      <c r="O82" s="6" t="s">
        <v>607</v>
      </c>
      <c r="P82" s="6" t="s">
        <v>608</v>
      </c>
      <c r="Q82" s="6"/>
      <c r="R82" s="6"/>
      <c r="S82" s="6"/>
      <c r="T82" s="6"/>
      <c r="U82" s="6"/>
      <c r="V82" s="6"/>
      <c r="W82" s="6"/>
      <c r="X82" s="6"/>
      <c r="Y82" s="6"/>
      <c r="Z82" s="6"/>
      <c r="AA82" s="6"/>
      <c r="AB82" s="6"/>
      <c r="AC82" s="6"/>
      <c r="AD82" s="30" t="s">
        <v>208</v>
      </c>
      <c r="AE82" s="30" t="s">
        <v>237</v>
      </c>
      <c r="AF82" s="31"/>
      <c r="AG82" s="32"/>
      <c r="AH82" s="31"/>
      <c r="AI82" s="32"/>
      <c r="AJ82" s="33" t="s">
        <v>127</v>
      </c>
      <c r="AK82" s="34"/>
      <c r="AL82" s="34"/>
      <c r="AM82" s="35"/>
      <c r="AN82" s="36" t="str">
        <f aca="false">IF(AD82&lt;&gt;"Y","Out of scope",IF(AF82="","Awaiting response",IF(AND(OR(AF82="Yes",AF82="Partial"),AG82=""),"No detail: treat as unanswered",IF(AND(AF82="Yes",AI82=""),"No evidence link",IF(AND(AJ82="Gap",OR(AL82="",AM82="")),"Gap needs owner and due date","OK")))))</f>
        <v>Awaiting response</v>
      </c>
    </row>
    <row r="83" customFormat="false" ht="57.45" hidden="false" customHeight="false" outlineLevel="0" collapsed="false">
      <c r="A83" s="28" t="s">
        <v>611</v>
      </c>
      <c r="B83" s="6" t="s">
        <v>600</v>
      </c>
      <c r="C83" s="6" t="s">
        <v>601</v>
      </c>
      <c r="D83" s="6" t="s">
        <v>148</v>
      </c>
      <c r="E83" s="29" t="s">
        <v>232</v>
      </c>
      <c r="F83" s="29" t="s">
        <v>31</v>
      </c>
      <c r="G83" s="29" t="s">
        <v>38</v>
      </c>
      <c r="H83" s="6" t="s">
        <v>612</v>
      </c>
      <c r="I83" s="6" t="s">
        <v>603</v>
      </c>
      <c r="J83" s="6" t="s">
        <v>604</v>
      </c>
      <c r="K83" s="6" t="s">
        <v>605</v>
      </c>
      <c r="L83" s="29" t="n">
        <v>28</v>
      </c>
      <c r="M83" s="6" t="s">
        <v>587</v>
      </c>
      <c r="N83" s="6" t="s">
        <v>606</v>
      </c>
      <c r="O83" s="6" t="s">
        <v>607</v>
      </c>
      <c r="P83" s="6" t="s">
        <v>608</v>
      </c>
      <c r="Q83" s="6"/>
      <c r="R83" s="6"/>
      <c r="S83" s="6"/>
      <c r="T83" s="6"/>
      <c r="U83" s="6"/>
      <c r="V83" s="6"/>
      <c r="W83" s="6"/>
      <c r="X83" s="6"/>
      <c r="Y83" s="6"/>
      <c r="Z83" s="6"/>
      <c r="AA83" s="6"/>
      <c r="AB83" s="6"/>
      <c r="AC83" s="6"/>
      <c r="AD83" s="30" t="s">
        <v>208</v>
      </c>
      <c r="AE83" s="30" t="s">
        <v>237</v>
      </c>
      <c r="AF83" s="31"/>
      <c r="AG83" s="32"/>
      <c r="AH83" s="31"/>
      <c r="AI83" s="32"/>
      <c r="AJ83" s="33" t="s">
        <v>127</v>
      </c>
      <c r="AK83" s="34"/>
      <c r="AL83" s="34"/>
      <c r="AM83" s="35"/>
      <c r="AN83" s="36" t="str">
        <f aca="false">IF(AD83&lt;&gt;"Y","Out of scope",IF(AF83="","Awaiting response",IF(AND(OR(AF83="Yes",AF83="Partial"),AG83=""),"No detail: treat as unanswered",IF(AND(AF83="Yes",AI83=""),"No evidence link",IF(AND(AJ83="Gap",OR(AL83="",AM83="")),"Gap needs owner and due date","OK")))))</f>
        <v>Awaiting response</v>
      </c>
    </row>
    <row r="84" customFormat="false" ht="46.25" hidden="false" customHeight="false" outlineLevel="0" collapsed="false">
      <c r="A84" s="28" t="s">
        <v>613</v>
      </c>
      <c r="B84" s="6" t="s">
        <v>614</v>
      </c>
      <c r="C84" s="6" t="s">
        <v>615</v>
      </c>
      <c r="D84" s="6" t="s">
        <v>147</v>
      </c>
      <c r="E84" s="29" t="s">
        <v>197</v>
      </c>
      <c r="F84" s="29" t="s">
        <v>29</v>
      </c>
      <c r="G84" s="29" t="s">
        <v>38</v>
      </c>
      <c r="H84" s="6" t="s">
        <v>616</v>
      </c>
      <c r="I84" s="6" t="s">
        <v>617</v>
      </c>
      <c r="J84" s="6" t="s">
        <v>618</v>
      </c>
      <c r="K84" s="6" t="s">
        <v>619</v>
      </c>
      <c r="L84" s="29" t="n">
        <v>19</v>
      </c>
      <c r="M84" s="6" t="s">
        <v>260</v>
      </c>
      <c r="N84" s="6" t="s">
        <v>620</v>
      </c>
      <c r="O84" s="6" t="s">
        <v>621</v>
      </c>
      <c r="P84" s="6" t="s">
        <v>622</v>
      </c>
      <c r="Q84" s="6"/>
      <c r="R84" s="6"/>
      <c r="S84" s="6"/>
      <c r="T84" s="6"/>
      <c r="U84" s="6"/>
      <c r="V84" s="6"/>
      <c r="W84" s="6"/>
      <c r="X84" s="6"/>
      <c r="Y84" s="6"/>
      <c r="Z84" s="6"/>
      <c r="AA84" s="6"/>
      <c r="AB84" s="6"/>
      <c r="AC84" s="6"/>
      <c r="AD84" s="30" t="s">
        <v>208</v>
      </c>
      <c r="AE84" s="30" t="s">
        <v>208</v>
      </c>
      <c r="AF84" s="31"/>
      <c r="AG84" s="32"/>
      <c r="AH84" s="31"/>
      <c r="AI84" s="32"/>
      <c r="AJ84" s="33" t="s">
        <v>127</v>
      </c>
      <c r="AK84" s="34"/>
      <c r="AL84" s="34"/>
      <c r="AM84" s="35"/>
      <c r="AN84" s="36" t="str">
        <f aca="false">IF(AD84&lt;&gt;"Y","Out of scope",IF(AF84="","Awaiting response",IF(AND(OR(AF84="Yes",AF84="Partial"),AG84=""),"No detail: treat as unanswered",IF(AND(AF84="Yes",AI84=""),"No evidence link",IF(AND(AJ84="Gap",OR(AL84="",AM84="")),"Gap needs owner and due date","OK")))))</f>
        <v>Awaiting response</v>
      </c>
    </row>
    <row r="85" customFormat="false" ht="46.25" hidden="false" customHeight="false" outlineLevel="0" collapsed="false">
      <c r="A85" s="28" t="s">
        <v>623</v>
      </c>
      <c r="B85" s="6" t="s">
        <v>614</v>
      </c>
      <c r="C85" s="6" t="s">
        <v>615</v>
      </c>
      <c r="D85" s="6" t="s">
        <v>147</v>
      </c>
      <c r="E85" s="29" t="s">
        <v>197</v>
      </c>
      <c r="F85" s="29" t="s">
        <v>29</v>
      </c>
      <c r="G85" s="29" t="s">
        <v>38</v>
      </c>
      <c r="H85" s="6" t="s">
        <v>624</v>
      </c>
      <c r="I85" s="6" t="s">
        <v>617</v>
      </c>
      <c r="J85" s="6" t="s">
        <v>618</v>
      </c>
      <c r="K85" s="6" t="s">
        <v>619</v>
      </c>
      <c r="L85" s="29" t="n">
        <v>19</v>
      </c>
      <c r="M85" s="6" t="s">
        <v>260</v>
      </c>
      <c r="N85" s="6" t="s">
        <v>620</v>
      </c>
      <c r="O85" s="6" t="s">
        <v>621</v>
      </c>
      <c r="P85" s="6" t="s">
        <v>622</v>
      </c>
      <c r="Q85" s="6"/>
      <c r="R85" s="6"/>
      <c r="S85" s="6"/>
      <c r="T85" s="6"/>
      <c r="U85" s="6"/>
      <c r="V85" s="6"/>
      <c r="W85" s="6"/>
      <c r="X85" s="6"/>
      <c r="Y85" s="6"/>
      <c r="Z85" s="6"/>
      <c r="AA85" s="6"/>
      <c r="AB85" s="6"/>
      <c r="AC85" s="6"/>
      <c r="AD85" s="30" t="s">
        <v>208</v>
      </c>
      <c r="AE85" s="30" t="s">
        <v>208</v>
      </c>
      <c r="AF85" s="31"/>
      <c r="AG85" s="32"/>
      <c r="AH85" s="31"/>
      <c r="AI85" s="32"/>
      <c r="AJ85" s="33" t="s">
        <v>127</v>
      </c>
      <c r="AK85" s="34"/>
      <c r="AL85" s="34"/>
      <c r="AM85" s="35"/>
      <c r="AN85" s="36" t="str">
        <f aca="false">IF(AD85&lt;&gt;"Y","Out of scope",IF(AF85="","Awaiting response",IF(AND(OR(AF85="Yes",AF85="Partial"),AG85=""),"No detail: treat as unanswered",IF(AND(AF85="Yes",AI85=""),"No evidence link",IF(AND(AJ85="Gap",OR(AL85="",AM85="")),"Gap needs owner and due date","OK")))))</f>
        <v>Awaiting response</v>
      </c>
    </row>
    <row r="86" customFormat="false" ht="46.25" hidden="false" customHeight="false" outlineLevel="0" collapsed="false">
      <c r="A86" s="28" t="s">
        <v>625</v>
      </c>
      <c r="B86" s="6" t="s">
        <v>614</v>
      </c>
      <c r="C86" s="6" t="s">
        <v>615</v>
      </c>
      <c r="D86" s="6" t="s">
        <v>147</v>
      </c>
      <c r="E86" s="29" t="s">
        <v>197</v>
      </c>
      <c r="F86" s="29" t="s">
        <v>29</v>
      </c>
      <c r="G86" s="29" t="s">
        <v>38</v>
      </c>
      <c r="H86" s="6" t="s">
        <v>626</v>
      </c>
      <c r="I86" s="6" t="s">
        <v>617</v>
      </c>
      <c r="J86" s="6" t="s">
        <v>618</v>
      </c>
      <c r="K86" s="6" t="s">
        <v>619</v>
      </c>
      <c r="L86" s="29" t="n">
        <v>19</v>
      </c>
      <c r="M86" s="6" t="s">
        <v>260</v>
      </c>
      <c r="N86" s="6" t="s">
        <v>620</v>
      </c>
      <c r="O86" s="6" t="s">
        <v>621</v>
      </c>
      <c r="P86" s="6" t="s">
        <v>622</v>
      </c>
      <c r="Q86" s="6"/>
      <c r="R86" s="6"/>
      <c r="S86" s="6"/>
      <c r="T86" s="6"/>
      <c r="U86" s="6"/>
      <c r="V86" s="6"/>
      <c r="W86" s="6"/>
      <c r="X86" s="6"/>
      <c r="Y86" s="6"/>
      <c r="Z86" s="6"/>
      <c r="AA86" s="6"/>
      <c r="AB86" s="6"/>
      <c r="AC86" s="6"/>
      <c r="AD86" s="30" t="s">
        <v>208</v>
      </c>
      <c r="AE86" s="30" t="s">
        <v>208</v>
      </c>
      <c r="AF86" s="31"/>
      <c r="AG86" s="32"/>
      <c r="AH86" s="31"/>
      <c r="AI86" s="32"/>
      <c r="AJ86" s="33" t="s">
        <v>127</v>
      </c>
      <c r="AK86" s="34"/>
      <c r="AL86" s="34"/>
      <c r="AM86" s="35"/>
      <c r="AN86" s="36" t="str">
        <f aca="false">IF(AD86&lt;&gt;"Y","Out of scope",IF(AF86="","Awaiting response",IF(AND(OR(AF86="Yes",AF86="Partial"),AG86=""),"No detail: treat as unanswered",IF(AND(AF86="Yes",AI86=""),"No evidence link",IF(AND(AJ86="Gap",OR(AL86="",AM86="")),"Gap needs owner and due date","OK")))))</f>
        <v>Awaiting response</v>
      </c>
    </row>
    <row r="87" customFormat="false" ht="91" hidden="false" customHeight="false" outlineLevel="0" collapsed="false">
      <c r="A87" s="28" t="s">
        <v>627</v>
      </c>
      <c r="B87" s="6" t="s">
        <v>628</v>
      </c>
      <c r="C87" s="6" t="s">
        <v>629</v>
      </c>
      <c r="D87" s="6" t="s">
        <v>147</v>
      </c>
      <c r="E87" s="29" t="s">
        <v>197</v>
      </c>
      <c r="F87" s="29" t="s">
        <v>29</v>
      </c>
      <c r="G87" s="29" t="s">
        <v>38</v>
      </c>
      <c r="H87" s="6" t="s">
        <v>630</v>
      </c>
      <c r="I87" s="6" t="s">
        <v>631</v>
      </c>
      <c r="J87" s="6" t="s">
        <v>632</v>
      </c>
      <c r="K87" s="6" t="s">
        <v>633</v>
      </c>
      <c r="L87" s="29" t="n">
        <v>8</v>
      </c>
      <c r="M87" s="6" t="s">
        <v>634</v>
      </c>
      <c r="N87" s="6" t="s">
        <v>635</v>
      </c>
      <c r="O87" s="6" t="s">
        <v>636</v>
      </c>
      <c r="P87" s="6" t="s">
        <v>637</v>
      </c>
      <c r="Q87" s="6" t="s">
        <v>638</v>
      </c>
      <c r="R87" s="6" t="s">
        <v>639</v>
      </c>
      <c r="S87" s="6" t="s">
        <v>640</v>
      </c>
      <c r="T87" s="6" t="s">
        <v>641</v>
      </c>
      <c r="U87" s="6" t="s">
        <v>642</v>
      </c>
      <c r="V87" s="6" t="s">
        <v>643</v>
      </c>
      <c r="W87" s="6" t="s">
        <v>644</v>
      </c>
      <c r="X87" s="6"/>
      <c r="Y87" s="6" t="s">
        <v>645</v>
      </c>
      <c r="Z87" s="6" t="s">
        <v>646</v>
      </c>
      <c r="AA87" s="6"/>
      <c r="AB87" s="6" t="s">
        <v>647</v>
      </c>
      <c r="AC87" s="6" t="s">
        <v>648</v>
      </c>
      <c r="AD87" s="30" t="s">
        <v>208</v>
      </c>
      <c r="AE87" s="30" t="s">
        <v>208</v>
      </c>
      <c r="AF87" s="31"/>
      <c r="AG87" s="32"/>
      <c r="AH87" s="31"/>
      <c r="AI87" s="32"/>
      <c r="AJ87" s="33" t="s">
        <v>127</v>
      </c>
      <c r="AK87" s="34"/>
      <c r="AL87" s="34"/>
      <c r="AM87" s="35"/>
      <c r="AN87" s="36" t="str">
        <f aca="false">IF(AD87&lt;&gt;"Y","Out of scope",IF(AF87="","Awaiting response",IF(AND(OR(AF87="Yes",AF87="Partial"),AG87=""),"No detail: treat as unanswered",IF(AND(AF87="Yes",AI87=""),"No evidence link",IF(AND(AJ87="Gap",OR(AL87="",AM87="")),"Gap needs owner and due date","OK")))))</f>
        <v>Awaiting response</v>
      </c>
    </row>
    <row r="88" customFormat="false" ht="91" hidden="false" customHeight="false" outlineLevel="0" collapsed="false">
      <c r="A88" s="28" t="s">
        <v>649</v>
      </c>
      <c r="B88" s="6" t="s">
        <v>628</v>
      </c>
      <c r="C88" s="6" t="s">
        <v>629</v>
      </c>
      <c r="D88" s="6" t="s">
        <v>147</v>
      </c>
      <c r="E88" s="29" t="s">
        <v>197</v>
      </c>
      <c r="F88" s="29" t="s">
        <v>29</v>
      </c>
      <c r="G88" s="29" t="s">
        <v>38</v>
      </c>
      <c r="H88" s="6" t="s">
        <v>650</v>
      </c>
      <c r="I88" s="6" t="s">
        <v>631</v>
      </c>
      <c r="J88" s="6" t="s">
        <v>632</v>
      </c>
      <c r="K88" s="6" t="s">
        <v>633</v>
      </c>
      <c r="L88" s="29" t="n">
        <v>8</v>
      </c>
      <c r="M88" s="6" t="s">
        <v>634</v>
      </c>
      <c r="N88" s="6" t="s">
        <v>635</v>
      </c>
      <c r="O88" s="6" t="s">
        <v>636</v>
      </c>
      <c r="P88" s="6" t="s">
        <v>637</v>
      </c>
      <c r="Q88" s="6" t="s">
        <v>638</v>
      </c>
      <c r="R88" s="6" t="s">
        <v>639</v>
      </c>
      <c r="S88" s="6" t="s">
        <v>640</v>
      </c>
      <c r="T88" s="6" t="s">
        <v>641</v>
      </c>
      <c r="U88" s="6" t="s">
        <v>642</v>
      </c>
      <c r="V88" s="6" t="s">
        <v>643</v>
      </c>
      <c r="W88" s="6" t="s">
        <v>644</v>
      </c>
      <c r="X88" s="6"/>
      <c r="Y88" s="6" t="s">
        <v>645</v>
      </c>
      <c r="Z88" s="6" t="s">
        <v>646</v>
      </c>
      <c r="AA88" s="6"/>
      <c r="AB88" s="6" t="s">
        <v>647</v>
      </c>
      <c r="AC88" s="6" t="s">
        <v>648</v>
      </c>
      <c r="AD88" s="30" t="s">
        <v>208</v>
      </c>
      <c r="AE88" s="30" t="s">
        <v>208</v>
      </c>
      <c r="AF88" s="31"/>
      <c r="AG88" s="32"/>
      <c r="AH88" s="31"/>
      <c r="AI88" s="32"/>
      <c r="AJ88" s="33" t="s">
        <v>127</v>
      </c>
      <c r="AK88" s="34"/>
      <c r="AL88" s="34"/>
      <c r="AM88" s="35"/>
      <c r="AN88" s="36" t="str">
        <f aca="false">IF(AD88&lt;&gt;"Y","Out of scope",IF(AF88="","Awaiting response",IF(AND(OR(AF88="Yes",AF88="Partial"),AG88=""),"No detail: treat as unanswered",IF(AND(AF88="Yes",AI88=""),"No evidence link",IF(AND(AJ88="Gap",OR(AL88="",AM88="")),"Gap needs owner and due date","OK")))))</f>
        <v>Awaiting response</v>
      </c>
    </row>
    <row r="89" customFormat="false" ht="91" hidden="false" customHeight="false" outlineLevel="0" collapsed="false">
      <c r="A89" s="28" t="s">
        <v>651</v>
      </c>
      <c r="B89" s="6" t="s">
        <v>628</v>
      </c>
      <c r="C89" s="6" t="s">
        <v>629</v>
      </c>
      <c r="D89" s="6" t="s">
        <v>147</v>
      </c>
      <c r="E89" s="29" t="s">
        <v>197</v>
      </c>
      <c r="F89" s="29" t="s">
        <v>29</v>
      </c>
      <c r="G89" s="29" t="s">
        <v>38</v>
      </c>
      <c r="H89" s="6" t="s">
        <v>652</v>
      </c>
      <c r="I89" s="6" t="s">
        <v>631</v>
      </c>
      <c r="J89" s="6" t="s">
        <v>632</v>
      </c>
      <c r="K89" s="6" t="s">
        <v>633</v>
      </c>
      <c r="L89" s="29" t="n">
        <v>8</v>
      </c>
      <c r="M89" s="6" t="s">
        <v>634</v>
      </c>
      <c r="N89" s="6" t="s">
        <v>635</v>
      </c>
      <c r="O89" s="6" t="s">
        <v>636</v>
      </c>
      <c r="P89" s="6" t="s">
        <v>637</v>
      </c>
      <c r="Q89" s="6" t="s">
        <v>638</v>
      </c>
      <c r="R89" s="6" t="s">
        <v>639</v>
      </c>
      <c r="S89" s="6" t="s">
        <v>640</v>
      </c>
      <c r="T89" s="6" t="s">
        <v>641</v>
      </c>
      <c r="U89" s="6" t="s">
        <v>642</v>
      </c>
      <c r="V89" s="6" t="s">
        <v>643</v>
      </c>
      <c r="W89" s="6" t="s">
        <v>644</v>
      </c>
      <c r="X89" s="6"/>
      <c r="Y89" s="6" t="s">
        <v>645</v>
      </c>
      <c r="Z89" s="6" t="s">
        <v>646</v>
      </c>
      <c r="AA89" s="6"/>
      <c r="AB89" s="6" t="s">
        <v>647</v>
      </c>
      <c r="AC89" s="6" t="s">
        <v>648</v>
      </c>
      <c r="AD89" s="30" t="s">
        <v>208</v>
      </c>
      <c r="AE89" s="30" t="s">
        <v>208</v>
      </c>
      <c r="AF89" s="31"/>
      <c r="AG89" s="32"/>
      <c r="AH89" s="31"/>
      <c r="AI89" s="32"/>
      <c r="AJ89" s="33" t="s">
        <v>127</v>
      </c>
      <c r="AK89" s="34"/>
      <c r="AL89" s="34"/>
      <c r="AM89" s="35"/>
      <c r="AN89" s="36" t="str">
        <f aca="false">IF(AD89&lt;&gt;"Y","Out of scope",IF(AF89="","Awaiting response",IF(AND(OR(AF89="Yes",AF89="Partial"),AG89=""),"No detail: treat as unanswered",IF(AND(AF89="Yes",AI89=""),"No evidence link",IF(AND(AJ89="Gap",OR(AL89="",AM89="")),"Gap needs owner and due date","OK")))))</f>
        <v>Awaiting response</v>
      </c>
    </row>
    <row r="90" customFormat="false" ht="124.6" hidden="false" customHeight="false" outlineLevel="0" collapsed="false">
      <c r="A90" s="28" t="s">
        <v>653</v>
      </c>
      <c r="B90" s="6" t="s">
        <v>654</v>
      </c>
      <c r="C90" s="6" t="s">
        <v>655</v>
      </c>
      <c r="D90" s="6" t="s">
        <v>147</v>
      </c>
      <c r="E90" s="29" t="s">
        <v>197</v>
      </c>
      <c r="F90" s="29" t="s">
        <v>31</v>
      </c>
      <c r="G90" s="29" t="s">
        <v>38</v>
      </c>
      <c r="H90" s="6" t="s">
        <v>656</v>
      </c>
      <c r="I90" s="6" t="s">
        <v>657</v>
      </c>
      <c r="J90" s="6" t="s">
        <v>658</v>
      </c>
      <c r="K90" s="6" t="s">
        <v>659</v>
      </c>
      <c r="L90" s="29" t="n">
        <v>16</v>
      </c>
      <c r="M90" s="6" t="s">
        <v>660</v>
      </c>
      <c r="N90" s="6" t="s">
        <v>661</v>
      </c>
      <c r="O90" s="6" t="s">
        <v>662</v>
      </c>
      <c r="P90" s="6" t="s">
        <v>663</v>
      </c>
      <c r="Q90" s="6"/>
      <c r="R90" s="6"/>
      <c r="S90" s="6"/>
      <c r="T90" s="6"/>
      <c r="U90" s="6"/>
      <c r="V90" s="6" t="s">
        <v>511</v>
      </c>
      <c r="W90" s="6"/>
      <c r="X90" s="6"/>
      <c r="Y90" s="6"/>
      <c r="Z90" s="6"/>
      <c r="AA90" s="6"/>
      <c r="AB90" s="6"/>
      <c r="AC90" s="6"/>
      <c r="AD90" s="30" t="s">
        <v>208</v>
      </c>
      <c r="AE90" s="30" t="s">
        <v>208</v>
      </c>
      <c r="AF90" s="31"/>
      <c r="AG90" s="32"/>
      <c r="AH90" s="31"/>
      <c r="AI90" s="32"/>
      <c r="AJ90" s="33" t="s">
        <v>127</v>
      </c>
      <c r="AK90" s="34"/>
      <c r="AL90" s="34"/>
      <c r="AM90" s="35"/>
      <c r="AN90" s="36" t="str">
        <f aca="false">IF(AD90&lt;&gt;"Y","Out of scope",IF(AF90="","Awaiting response",IF(AND(OR(AF90="Yes",AF90="Partial"),AG90=""),"No detail: treat as unanswered",IF(AND(AF90="Yes",AI90=""),"No evidence link",IF(AND(AJ90="Gap",OR(AL90="",AM90="")),"Gap needs owner and due date","OK")))))</f>
        <v>Awaiting response</v>
      </c>
    </row>
    <row r="91" customFormat="false" ht="124.6" hidden="false" customHeight="false" outlineLevel="0" collapsed="false">
      <c r="A91" s="28" t="s">
        <v>664</v>
      </c>
      <c r="B91" s="6" t="s">
        <v>654</v>
      </c>
      <c r="C91" s="6" t="s">
        <v>655</v>
      </c>
      <c r="D91" s="6" t="s">
        <v>147</v>
      </c>
      <c r="E91" s="29" t="s">
        <v>197</v>
      </c>
      <c r="F91" s="29" t="s">
        <v>31</v>
      </c>
      <c r="G91" s="29" t="s">
        <v>38</v>
      </c>
      <c r="H91" s="6" t="s">
        <v>665</v>
      </c>
      <c r="I91" s="6" t="s">
        <v>657</v>
      </c>
      <c r="J91" s="6" t="s">
        <v>658</v>
      </c>
      <c r="K91" s="6" t="s">
        <v>659</v>
      </c>
      <c r="L91" s="29" t="n">
        <v>16</v>
      </c>
      <c r="M91" s="6" t="s">
        <v>660</v>
      </c>
      <c r="N91" s="6" t="s">
        <v>661</v>
      </c>
      <c r="O91" s="6" t="s">
        <v>662</v>
      </c>
      <c r="P91" s="6" t="s">
        <v>663</v>
      </c>
      <c r="Q91" s="6"/>
      <c r="R91" s="6"/>
      <c r="S91" s="6"/>
      <c r="T91" s="6"/>
      <c r="U91" s="6"/>
      <c r="V91" s="6" t="s">
        <v>511</v>
      </c>
      <c r="W91" s="6"/>
      <c r="X91" s="6"/>
      <c r="Y91" s="6"/>
      <c r="Z91" s="6"/>
      <c r="AA91" s="6"/>
      <c r="AB91" s="6"/>
      <c r="AC91" s="6"/>
      <c r="AD91" s="30" t="s">
        <v>208</v>
      </c>
      <c r="AE91" s="30" t="s">
        <v>208</v>
      </c>
      <c r="AF91" s="31"/>
      <c r="AG91" s="32"/>
      <c r="AH91" s="31"/>
      <c r="AI91" s="32"/>
      <c r="AJ91" s="33" t="s">
        <v>127</v>
      </c>
      <c r="AK91" s="34"/>
      <c r="AL91" s="34"/>
      <c r="AM91" s="35"/>
      <c r="AN91" s="36" t="str">
        <f aca="false">IF(AD91&lt;&gt;"Y","Out of scope",IF(AF91="","Awaiting response",IF(AND(OR(AF91="Yes",AF91="Partial"),AG91=""),"No detail: treat as unanswered",IF(AND(AF91="Yes",AI91=""),"No evidence link",IF(AND(AJ91="Gap",OR(AL91="",AM91="")),"Gap needs owner and due date","OK")))))</f>
        <v>Awaiting response</v>
      </c>
    </row>
    <row r="92" customFormat="false" ht="124.6" hidden="false" customHeight="false" outlineLevel="0" collapsed="false">
      <c r="A92" s="28" t="s">
        <v>666</v>
      </c>
      <c r="B92" s="6" t="s">
        <v>654</v>
      </c>
      <c r="C92" s="6" t="s">
        <v>655</v>
      </c>
      <c r="D92" s="6" t="s">
        <v>147</v>
      </c>
      <c r="E92" s="29" t="s">
        <v>197</v>
      </c>
      <c r="F92" s="29" t="s">
        <v>31</v>
      </c>
      <c r="G92" s="29" t="s">
        <v>38</v>
      </c>
      <c r="H92" s="6" t="s">
        <v>667</v>
      </c>
      <c r="I92" s="6" t="s">
        <v>657</v>
      </c>
      <c r="J92" s="6" t="s">
        <v>658</v>
      </c>
      <c r="K92" s="6" t="s">
        <v>659</v>
      </c>
      <c r="L92" s="29" t="n">
        <v>16</v>
      </c>
      <c r="M92" s="6" t="s">
        <v>660</v>
      </c>
      <c r="N92" s="6" t="s">
        <v>661</v>
      </c>
      <c r="O92" s="6" t="s">
        <v>662</v>
      </c>
      <c r="P92" s="6" t="s">
        <v>663</v>
      </c>
      <c r="Q92" s="6"/>
      <c r="R92" s="6"/>
      <c r="S92" s="6"/>
      <c r="T92" s="6"/>
      <c r="U92" s="6"/>
      <c r="V92" s="6" t="s">
        <v>511</v>
      </c>
      <c r="W92" s="6"/>
      <c r="X92" s="6"/>
      <c r="Y92" s="6"/>
      <c r="Z92" s="6"/>
      <c r="AA92" s="6"/>
      <c r="AB92" s="6"/>
      <c r="AC92" s="6"/>
      <c r="AD92" s="30" t="s">
        <v>208</v>
      </c>
      <c r="AE92" s="30" t="s">
        <v>208</v>
      </c>
      <c r="AF92" s="31"/>
      <c r="AG92" s="32"/>
      <c r="AH92" s="31"/>
      <c r="AI92" s="32"/>
      <c r="AJ92" s="33" t="s">
        <v>127</v>
      </c>
      <c r="AK92" s="34"/>
      <c r="AL92" s="34"/>
      <c r="AM92" s="35"/>
      <c r="AN92" s="36" t="str">
        <f aca="false">IF(AD92&lt;&gt;"Y","Out of scope",IF(AF92="","Awaiting response",IF(AND(OR(AF92="Yes",AF92="Partial"),AG92=""),"No detail: treat as unanswered",IF(AND(AF92="Yes",AI92=""),"No evidence link",IF(AND(AJ92="Gap",OR(AL92="",AM92="")),"Gap needs owner and due date","OK")))))</f>
        <v>Awaiting response</v>
      </c>
    </row>
    <row r="93" customFormat="false" ht="124.6" hidden="false" customHeight="false" outlineLevel="0" collapsed="false">
      <c r="A93" s="28" t="s">
        <v>668</v>
      </c>
      <c r="B93" s="6" t="s">
        <v>654</v>
      </c>
      <c r="C93" s="6" t="s">
        <v>655</v>
      </c>
      <c r="D93" s="6" t="s">
        <v>147</v>
      </c>
      <c r="E93" s="29" t="s">
        <v>197</v>
      </c>
      <c r="F93" s="29" t="s">
        <v>31</v>
      </c>
      <c r="G93" s="29" t="s">
        <v>38</v>
      </c>
      <c r="H93" s="6" t="s">
        <v>669</v>
      </c>
      <c r="I93" s="6" t="s">
        <v>657</v>
      </c>
      <c r="J93" s="6" t="s">
        <v>658</v>
      </c>
      <c r="K93" s="6" t="s">
        <v>659</v>
      </c>
      <c r="L93" s="29" t="n">
        <v>16</v>
      </c>
      <c r="M93" s="6" t="s">
        <v>660</v>
      </c>
      <c r="N93" s="6" t="s">
        <v>661</v>
      </c>
      <c r="O93" s="6" t="s">
        <v>662</v>
      </c>
      <c r="P93" s="6" t="s">
        <v>663</v>
      </c>
      <c r="Q93" s="6"/>
      <c r="R93" s="6"/>
      <c r="S93" s="6"/>
      <c r="T93" s="6"/>
      <c r="U93" s="6"/>
      <c r="V93" s="6" t="s">
        <v>511</v>
      </c>
      <c r="W93" s="6"/>
      <c r="X93" s="6"/>
      <c r="Y93" s="6"/>
      <c r="Z93" s="6"/>
      <c r="AA93" s="6"/>
      <c r="AB93" s="6"/>
      <c r="AC93" s="6"/>
      <c r="AD93" s="30" t="s">
        <v>208</v>
      </c>
      <c r="AE93" s="30" t="s">
        <v>208</v>
      </c>
      <c r="AF93" s="31"/>
      <c r="AG93" s="32"/>
      <c r="AH93" s="31"/>
      <c r="AI93" s="32"/>
      <c r="AJ93" s="33" t="s">
        <v>127</v>
      </c>
      <c r="AK93" s="34"/>
      <c r="AL93" s="34"/>
      <c r="AM93" s="35"/>
      <c r="AN93" s="36" t="str">
        <f aca="false">IF(AD93&lt;&gt;"Y","Out of scope",IF(AF93="","Awaiting response",IF(AND(OR(AF93="Yes",AF93="Partial"),AG93=""),"No detail: treat as unanswered",IF(AND(AF93="Yes",AI93=""),"No evidence link",IF(AND(AJ93="Gap",OR(AL93="",AM93="")),"Gap needs owner and due date","OK")))))</f>
        <v>Awaiting response</v>
      </c>
    </row>
    <row r="94" customFormat="false" ht="68.65" hidden="false" customHeight="false" outlineLevel="0" collapsed="false">
      <c r="A94" s="28" t="s">
        <v>670</v>
      </c>
      <c r="B94" s="6" t="s">
        <v>671</v>
      </c>
      <c r="C94" s="6" t="s">
        <v>672</v>
      </c>
      <c r="D94" s="6" t="s">
        <v>147</v>
      </c>
      <c r="E94" s="29" t="s">
        <v>197</v>
      </c>
      <c r="F94" s="29" t="s">
        <v>35</v>
      </c>
      <c r="G94" s="29" t="s">
        <v>38</v>
      </c>
      <c r="H94" s="6" t="s">
        <v>673</v>
      </c>
      <c r="I94" s="6" t="s">
        <v>674</v>
      </c>
      <c r="J94" s="6" t="s">
        <v>675</v>
      </c>
      <c r="K94" s="6" t="s">
        <v>676</v>
      </c>
      <c r="L94" s="29" t="n">
        <v>13</v>
      </c>
      <c r="M94" s="6" t="s">
        <v>677</v>
      </c>
      <c r="N94" s="6" t="s">
        <v>678</v>
      </c>
      <c r="O94" s="6" t="s">
        <v>679</v>
      </c>
      <c r="P94" s="6" t="s">
        <v>680</v>
      </c>
      <c r="Q94" s="6" t="s">
        <v>460</v>
      </c>
      <c r="R94" s="6"/>
      <c r="S94" s="6"/>
      <c r="T94" s="6"/>
      <c r="U94" s="6" t="s">
        <v>681</v>
      </c>
      <c r="V94" s="6" t="s">
        <v>682</v>
      </c>
      <c r="W94" s="6"/>
      <c r="X94" s="6"/>
      <c r="Y94" s="6"/>
      <c r="Z94" s="6"/>
      <c r="AA94" s="6"/>
      <c r="AB94" s="6"/>
      <c r="AC94" s="6" t="s">
        <v>683</v>
      </c>
      <c r="AD94" s="30" t="s">
        <v>208</v>
      </c>
      <c r="AE94" s="30" t="s">
        <v>208</v>
      </c>
      <c r="AF94" s="31"/>
      <c r="AG94" s="32"/>
      <c r="AH94" s="31"/>
      <c r="AI94" s="32"/>
      <c r="AJ94" s="33" t="s">
        <v>127</v>
      </c>
      <c r="AK94" s="34"/>
      <c r="AL94" s="34"/>
      <c r="AM94" s="35"/>
      <c r="AN94" s="36" t="str">
        <f aca="false">IF(AD94&lt;&gt;"Y","Out of scope",IF(AF94="","Awaiting response",IF(AND(OR(AF94="Yes",AF94="Partial"),AG94=""),"No detail: treat as unanswered",IF(AND(AF94="Yes",AI94=""),"No evidence link",IF(AND(AJ94="Gap",OR(AL94="",AM94="")),"Gap needs owner and due date","OK")))))</f>
        <v>Awaiting response</v>
      </c>
    </row>
    <row r="95" customFormat="false" ht="68.65" hidden="false" customHeight="false" outlineLevel="0" collapsed="false">
      <c r="A95" s="28" t="s">
        <v>684</v>
      </c>
      <c r="B95" s="6" t="s">
        <v>671</v>
      </c>
      <c r="C95" s="6" t="s">
        <v>672</v>
      </c>
      <c r="D95" s="6" t="s">
        <v>147</v>
      </c>
      <c r="E95" s="29" t="s">
        <v>197</v>
      </c>
      <c r="F95" s="29" t="s">
        <v>35</v>
      </c>
      <c r="G95" s="29" t="s">
        <v>38</v>
      </c>
      <c r="H95" s="6" t="s">
        <v>685</v>
      </c>
      <c r="I95" s="6" t="s">
        <v>674</v>
      </c>
      <c r="J95" s="6" t="s">
        <v>675</v>
      </c>
      <c r="K95" s="6" t="s">
        <v>676</v>
      </c>
      <c r="L95" s="29" t="n">
        <v>13</v>
      </c>
      <c r="M95" s="6" t="s">
        <v>677</v>
      </c>
      <c r="N95" s="6" t="s">
        <v>678</v>
      </c>
      <c r="O95" s="6" t="s">
        <v>679</v>
      </c>
      <c r="P95" s="6" t="s">
        <v>680</v>
      </c>
      <c r="Q95" s="6" t="s">
        <v>460</v>
      </c>
      <c r="R95" s="6"/>
      <c r="S95" s="6"/>
      <c r="T95" s="6"/>
      <c r="U95" s="6" t="s">
        <v>681</v>
      </c>
      <c r="V95" s="6" t="s">
        <v>682</v>
      </c>
      <c r="W95" s="6"/>
      <c r="X95" s="6"/>
      <c r="Y95" s="6"/>
      <c r="Z95" s="6"/>
      <c r="AA95" s="6"/>
      <c r="AB95" s="6"/>
      <c r="AC95" s="6" t="s">
        <v>683</v>
      </c>
      <c r="AD95" s="30" t="s">
        <v>208</v>
      </c>
      <c r="AE95" s="30" t="s">
        <v>208</v>
      </c>
      <c r="AF95" s="31"/>
      <c r="AG95" s="32"/>
      <c r="AH95" s="31"/>
      <c r="AI95" s="32"/>
      <c r="AJ95" s="33" t="s">
        <v>127</v>
      </c>
      <c r="AK95" s="34"/>
      <c r="AL95" s="34"/>
      <c r="AM95" s="35"/>
      <c r="AN95" s="36" t="str">
        <f aca="false">IF(AD95&lt;&gt;"Y","Out of scope",IF(AF95="","Awaiting response",IF(AND(OR(AF95="Yes",AF95="Partial"),AG95=""),"No detail: treat as unanswered",IF(AND(AF95="Yes",AI95=""),"No evidence link",IF(AND(AJ95="Gap",OR(AL95="",AM95="")),"Gap needs owner and due date","OK")))))</f>
        <v>Awaiting response</v>
      </c>
    </row>
    <row r="96" customFormat="false" ht="68.65" hidden="false" customHeight="false" outlineLevel="0" collapsed="false">
      <c r="A96" s="28" t="s">
        <v>686</v>
      </c>
      <c r="B96" s="6" t="s">
        <v>671</v>
      </c>
      <c r="C96" s="6" t="s">
        <v>672</v>
      </c>
      <c r="D96" s="6" t="s">
        <v>147</v>
      </c>
      <c r="E96" s="29" t="s">
        <v>197</v>
      </c>
      <c r="F96" s="29" t="s">
        <v>35</v>
      </c>
      <c r="G96" s="29" t="s">
        <v>38</v>
      </c>
      <c r="H96" s="6" t="s">
        <v>687</v>
      </c>
      <c r="I96" s="6" t="s">
        <v>674</v>
      </c>
      <c r="J96" s="6" t="s">
        <v>675</v>
      </c>
      <c r="K96" s="6" t="s">
        <v>676</v>
      </c>
      <c r="L96" s="29" t="n">
        <v>13</v>
      </c>
      <c r="M96" s="6" t="s">
        <v>677</v>
      </c>
      <c r="N96" s="6" t="s">
        <v>678</v>
      </c>
      <c r="O96" s="6" t="s">
        <v>679</v>
      </c>
      <c r="P96" s="6" t="s">
        <v>680</v>
      </c>
      <c r="Q96" s="6" t="s">
        <v>460</v>
      </c>
      <c r="R96" s="6"/>
      <c r="S96" s="6"/>
      <c r="T96" s="6"/>
      <c r="U96" s="6" t="s">
        <v>681</v>
      </c>
      <c r="V96" s="6" t="s">
        <v>682</v>
      </c>
      <c r="W96" s="6"/>
      <c r="X96" s="6"/>
      <c r="Y96" s="6"/>
      <c r="Z96" s="6"/>
      <c r="AA96" s="6"/>
      <c r="AB96" s="6"/>
      <c r="AC96" s="6" t="s">
        <v>683</v>
      </c>
      <c r="AD96" s="30" t="s">
        <v>208</v>
      </c>
      <c r="AE96" s="30" t="s">
        <v>208</v>
      </c>
      <c r="AF96" s="31"/>
      <c r="AG96" s="32"/>
      <c r="AH96" s="31"/>
      <c r="AI96" s="32"/>
      <c r="AJ96" s="33" t="s">
        <v>127</v>
      </c>
      <c r="AK96" s="34"/>
      <c r="AL96" s="34"/>
      <c r="AM96" s="35"/>
      <c r="AN96" s="36" t="str">
        <f aca="false">IF(AD96&lt;&gt;"Y","Out of scope",IF(AF96="","Awaiting response",IF(AND(OR(AF96="Yes",AF96="Partial"),AG96=""),"No detail: treat as unanswered",IF(AND(AF96="Yes",AI96=""),"No evidence link",IF(AND(AJ96="Gap",OR(AL96="",AM96="")),"Gap needs owner and due date","OK")))))</f>
        <v>Awaiting response</v>
      </c>
    </row>
    <row r="97" customFormat="false" ht="68.65" hidden="false" customHeight="false" outlineLevel="0" collapsed="false">
      <c r="A97" s="28" t="s">
        <v>688</v>
      </c>
      <c r="B97" s="6" t="s">
        <v>671</v>
      </c>
      <c r="C97" s="6" t="s">
        <v>672</v>
      </c>
      <c r="D97" s="6" t="s">
        <v>147</v>
      </c>
      <c r="E97" s="29" t="s">
        <v>197</v>
      </c>
      <c r="F97" s="29" t="s">
        <v>35</v>
      </c>
      <c r="G97" s="29" t="s">
        <v>38</v>
      </c>
      <c r="H97" s="6" t="s">
        <v>689</v>
      </c>
      <c r="I97" s="6" t="s">
        <v>674</v>
      </c>
      <c r="J97" s="6" t="s">
        <v>675</v>
      </c>
      <c r="K97" s="6" t="s">
        <v>676</v>
      </c>
      <c r="L97" s="29" t="n">
        <v>13</v>
      </c>
      <c r="M97" s="6" t="s">
        <v>677</v>
      </c>
      <c r="N97" s="6" t="s">
        <v>678</v>
      </c>
      <c r="O97" s="6" t="s">
        <v>679</v>
      </c>
      <c r="P97" s="6" t="s">
        <v>680</v>
      </c>
      <c r="Q97" s="6" t="s">
        <v>460</v>
      </c>
      <c r="R97" s="6"/>
      <c r="S97" s="6"/>
      <c r="T97" s="6"/>
      <c r="U97" s="6" t="s">
        <v>681</v>
      </c>
      <c r="V97" s="6" t="s">
        <v>682</v>
      </c>
      <c r="W97" s="6"/>
      <c r="X97" s="6"/>
      <c r="Y97" s="6"/>
      <c r="Z97" s="6"/>
      <c r="AA97" s="6"/>
      <c r="AB97" s="6"/>
      <c r="AC97" s="6" t="s">
        <v>683</v>
      </c>
      <c r="AD97" s="30" t="s">
        <v>208</v>
      </c>
      <c r="AE97" s="30" t="s">
        <v>208</v>
      </c>
      <c r="AF97" s="31"/>
      <c r="AG97" s="32"/>
      <c r="AH97" s="31"/>
      <c r="AI97" s="32"/>
      <c r="AJ97" s="33" t="s">
        <v>127</v>
      </c>
      <c r="AK97" s="34"/>
      <c r="AL97" s="34"/>
      <c r="AM97" s="35"/>
      <c r="AN97" s="36" t="str">
        <f aca="false">IF(AD97&lt;&gt;"Y","Out of scope",IF(AF97="","Awaiting response",IF(AND(OR(AF97="Yes",AF97="Partial"),AG97=""),"No detail: treat as unanswered",IF(AND(AF97="Yes",AI97=""),"No evidence link",IF(AND(AJ97="Gap",OR(AL97="",AM97="")),"Gap needs owner and due date","OK")))))</f>
        <v>Awaiting response</v>
      </c>
    </row>
    <row r="98" customFormat="false" ht="68.65" hidden="false" customHeight="false" outlineLevel="0" collapsed="false">
      <c r="A98" s="28" t="s">
        <v>690</v>
      </c>
      <c r="B98" s="6" t="s">
        <v>671</v>
      </c>
      <c r="C98" s="6" t="s">
        <v>672</v>
      </c>
      <c r="D98" s="6" t="s">
        <v>147</v>
      </c>
      <c r="E98" s="29" t="s">
        <v>197</v>
      </c>
      <c r="F98" s="29" t="s">
        <v>35</v>
      </c>
      <c r="G98" s="29" t="s">
        <v>38</v>
      </c>
      <c r="H98" s="6" t="s">
        <v>691</v>
      </c>
      <c r="I98" s="6" t="s">
        <v>674</v>
      </c>
      <c r="J98" s="6" t="s">
        <v>675</v>
      </c>
      <c r="K98" s="6" t="s">
        <v>676</v>
      </c>
      <c r="L98" s="29" t="n">
        <v>13</v>
      </c>
      <c r="M98" s="6" t="s">
        <v>677</v>
      </c>
      <c r="N98" s="6" t="s">
        <v>678</v>
      </c>
      <c r="O98" s="6" t="s">
        <v>679</v>
      </c>
      <c r="P98" s="6" t="s">
        <v>680</v>
      </c>
      <c r="Q98" s="6" t="s">
        <v>460</v>
      </c>
      <c r="R98" s="6"/>
      <c r="S98" s="6"/>
      <c r="T98" s="6"/>
      <c r="U98" s="6" t="s">
        <v>681</v>
      </c>
      <c r="V98" s="6" t="s">
        <v>682</v>
      </c>
      <c r="W98" s="6"/>
      <c r="X98" s="6"/>
      <c r="Y98" s="6"/>
      <c r="Z98" s="6"/>
      <c r="AA98" s="6"/>
      <c r="AB98" s="6"/>
      <c r="AC98" s="6" t="s">
        <v>683</v>
      </c>
      <c r="AD98" s="30" t="s">
        <v>208</v>
      </c>
      <c r="AE98" s="30" t="s">
        <v>208</v>
      </c>
      <c r="AF98" s="31"/>
      <c r="AG98" s="32"/>
      <c r="AH98" s="31"/>
      <c r="AI98" s="32"/>
      <c r="AJ98" s="33" t="s">
        <v>127</v>
      </c>
      <c r="AK98" s="34"/>
      <c r="AL98" s="34"/>
      <c r="AM98" s="35"/>
      <c r="AN98" s="36" t="str">
        <f aca="false">IF(AD98&lt;&gt;"Y","Out of scope",IF(AF98="","Awaiting response",IF(AND(OR(AF98="Yes",AF98="Partial"),AG98=""),"No detail: treat as unanswered",IF(AND(AF98="Yes",AI98=""),"No evidence link",IF(AND(AJ98="Gap",OR(AL98="",AM98="")),"Gap needs owner and due date","OK")))))</f>
        <v>Awaiting response</v>
      </c>
    </row>
    <row r="99" customFormat="false" ht="68.65" hidden="false" customHeight="false" outlineLevel="0" collapsed="false">
      <c r="A99" s="28" t="s">
        <v>692</v>
      </c>
      <c r="B99" s="6" t="s">
        <v>671</v>
      </c>
      <c r="C99" s="6" t="s">
        <v>672</v>
      </c>
      <c r="D99" s="6" t="s">
        <v>147</v>
      </c>
      <c r="E99" s="29" t="s">
        <v>197</v>
      </c>
      <c r="F99" s="29" t="s">
        <v>35</v>
      </c>
      <c r="G99" s="29" t="s">
        <v>38</v>
      </c>
      <c r="H99" s="6" t="s">
        <v>693</v>
      </c>
      <c r="I99" s="6" t="s">
        <v>674</v>
      </c>
      <c r="J99" s="6" t="s">
        <v>675</v>
      </c>
      <c r="K99" s="6" t="s">
        <v>676</v>
      </c>
      <c r="L99" s="29" t="n">
        <v>13</v>
      </c>
      <c r="M99" s="6" t="s">
        <v>677</v>
      </c>
      <c r="N99" s="6" t="s">
        <v>678</v>
      </c>
      <c r="O99" s="6" t="s">
        <v>679</v>
      </c>
      <c r="P99" s="6" t="s">
        <v>680</v>
      </c>
      <c r="Q99" s="6" t="s">
        <v>460</v>
      </c>
      <c r="R99" s="6"/>
      <c r="S99" s="6"/>
      <c r="T99" s="6"/>
      <c r="U99" s="6" t="s">
        <v>681</v>
      </c>
      <c r="V99" s="6" t="s">
        <v>682</v>
      </c>
      <c r="W99" s="6"/>
      <c r="X99" s="6"/>
      <c r="Y99" s="6"/>
      <c r="Z99" s="6"/>
      <c r="AA99" s="6"/>
      <c r="AB99" s="6"/>
      <c r="AC99" s="6" t="s">
        <v>683</v>
      </c>
      <c r="AD99" s="30" t="s">
        <v>208</v>
      </c>
      <c r="AE99" s="30" t="s">
        <v>208</v>
      </c>
      <c r="AF99" s="31"/>
      <c r="AG99" s="32"/>
      <c r="AH99" s="31"/>
      <c r="AI99" s="32"/>
      <c r="AJ99" s="33" t="s">
        <v>127</v>
      </c>
      <c r="AK99" s="34"/>
      <c r="AL99" s="34"/>
      <c r="AM99" s="35"/>
      <c r="AN99" s="36" t="str">
        <f aca="false">IF(AD99&lt;&gt;"Y","Out of scope",IF(AF99="","Awaiting response",IF(AND(OR(AF99="Yes",AF99="Partial"),AG99=""),"No detail: treat as unanswered",IF(AND(AF99="Yes",AI99=""),"No evidence link",IF(AND(AJ99="Gap",OR(AL99="",AM99="")),"Gap needs owner and due date","OK")))))</f>
        <v>Awaiting response</v>
      </c>
    </row>
    <row r="100" customFormat="false" ht="68.65" hidden="false" customHeight="false" outlineLevel="0" collapsed="false">
      <c r="A100" s="28" t="s">
        <v>694</v>
      </c>
      <c r="B100" s="6" t="s">
        <v>671</v>
      </c>
      <c r="C100" s="6" t="s">
        <v>672</v>
      </c>
      <c r="D100" s="6" t="s">
        <v>147</v>
      </c>
      <c r="E100" s="29" t="s">
        <v>197</v>
      </c>
      <c r="F100" s="29" t="s">
        <v>35</v>
      </c>
      <c r="G100" s="29" t="s">
        <v>38</v>
      </c>
      <c r="H100" s="6" t="s">
        <v>695</v>
      </c>
      <c r="I100" s="6" t="s">
        <v>674</v>
      </c>
      <c r="J100" s="6" t="s">
        <v>675</v>
      </c>
      <c r="K100" s="6" t="s">
        <v>676</v>
      </c>
      <c r="L100" s="29" t="n">
        <v>13</v>
      </c>
      <c r="M100" s="6" t="s">
        <v>677</v>
      </c>
      <c r="N100" s="6" t="s">
        <v>678</v>
      </c>
      <c r="O100" s="6" t="s">
        <v>679</v>
      </c>
      <c r="P100" s="6" t="s">
        <v>680</v>
      </c>
      <c r="Q100" s="6" t="s">
        <v>460</v>
      </c>
      <c r="R100" s="6"/>
      <c r="S100" s="6"/>
      <c r="T100" s="6"/>
      <c r="U100" s="6" t="s">
        <v>681</v>
      </c>
      <c r="V100" s="6" t="s">
        <v>682</v>
      </c>
      <c r="W100" s="6"/>
      <c r="X100" s="6"/>
      <c r="Y100" s="6"/>
      <c r="Z100" s="6"/>
      <c r="AA100" s="6"/>
      <c r="AB100" s="6"/>
      <c r="AC100" s="6" t="s">
        <v>683</v>
      </c>
      <c r="AD100" s="30" t="s">
        <v>208</v>
      </c>
      <c r="AE100" s="30" t="s">
        <v>208</v>
      </c>
      <c r="AF100" s="31"/>
      <c r="AG100" s="32"/>
      <c r="AH100" s="31"/>
      <c r="AI100" s="32"/>
      <c r="AJ100" s="33" t="s">
        <v>127</v>
      </c>
      <c r="AK100" s="34"/>
      <c r="AL100" s="34"/>
      <c r="AM100" s="35"/>
      <c r="AN100" s="36" t="str">
        <f aca="false">IF(AD100&lt;&gt;"Y","Out of scope",IF(AF100="","Awaiting response",IF(AND(OR(AF100="Yes",AF100="Partial"),AG100=""),"No detail: treat as unanswered",IF(AND(AF100="Yes",AI100=""),"No evidence link",IF(AND(AJ100="Gap",OR(AL100="",AM100="")),"Gap needs owner and due date","OK")))))</f>
        <v>Awaiting response</v>
      </c>
    </row>
    <row r="101" customFormat="false" ht="57.45" hidden="false" customHeight="false" outlineLevel="0" collapsed="false">
      <c r="A101" s="28" t="s">
        <v>696</v>
      </c>
      <c r="B101" s="6" t="s">
        <v>697</v>
      </c>
      <c r="C101" s="6" t="s">
        <v>698</v>
      </c>
      <c r="D101" s="6" t="s">
        <v>147</v>
      </c>
      <c r="E101" s="29" t="s">
        <v>232</v>
      </c>
      <c r="F101" s="29" t="s">
        <v>31</v>
      </c>
      <c r="G101" s="29" t="s">
        <v>38</v>
      </c>
      <c r="H101" s="6" t="s">
        <v>699</v>
      </c>
      <c r="I101" s="6" t="s">
        <v>700</v>
      </c>
      <c r="J101" s="6" t="s">
        <v>701</v>
      </c>
      <c r="K101" s="6" t="s">
        <v>702</v>
      </c>
      <c r="L101" s="29" t="n">
        <v>9</v>
      </c>
      <c r="M101" s="6" t="s">
        <v>587</v>
      </c>
      <c r="N101" s="6" t="s">
        <v>678</v>
      </c>
      <c r="O101" s="6" t="s">
        <v>703</v>
      </c>
      <c r="P101" s="6" t="s">
        <v>704</v>
      </c>
      <c r="Q101" s="6"/>
      <c r="R101" s="6"/>
      <c r="S101" s="6"/>
      <c r="T101" s="6"/>
      <c r="U101" s="6"/>
      <c r="V101" s="6"/>
      <c r="W101" s="6"/>
      <c r="X101" s="6"/>
      <c r="Y101" s="6"/>
      <c r="Z101" s="6"/>
      <c r="AA101" s="6"/>
      <c r="AB101" s="6"/>
      <c r="AC101" s="6"/>
      <c r="AD101" s="30" t="s">
        <v>208</v>
      </c>
      <c r="AE101" s="30" t="s">
        <v>237</v>
      </c>
      <c r="AF101" s="31"/>
      <c r="AG101" s="32"/>
      <c r="AH101" s="31"/>
      <c r="AI101" s="32"/>
      <c r="AJ101" s="33" t="s">
        <v>127</v>
      </c>
      <c r="AK101" s="34"/>
      <c r="AL101" s="34"/>
      <c r="AM101" s="35"/>
      <c r="AN101" s="36" t="str">
        <f aca="false">IF(AD101&lt;&gt;"Y","Out of scope",IF(AF101="","Awaiting response",IF(AND(OR(AF101="Yes",AF101="Partial"),AG101=""),"No detail: treat as unanswered",IF(AND(AF101="Yes",AI101=""),"No evidence link",IF(AND(AJ101="Gap",OR(AL101="",AM101="")),"Gap needs owner and due date","OK")))))</f>
        <v>Awaiting response</v>
      </c>
    </row>
    <row r="102" customFormat="false" ht="57.45" hidden="false" customHeight="false" outlineLevel="0" collapsed="false">
      <c r="A102" s="28" t="s">
        <v>705</v>
      </c>
      <c r="B102" s="6" t="s">
        <v>697</v>
      </c>
      <c r="C102" s="6" t="s">
        <v>698</v>
      </c>
      <c r="D102" s="6" t="s">
        <v>147</v>
      </c>
      <c r="E102" s="29" t="s">
        <v>232</v>
      </c>
      <c r="F102" s="29" t="s">
        <v>31</v>
      </c>
      <c r="G102" s="29" t="s">
        <v>38</v>
      </c>
      <c r="H102" s="6" t="s">
        <v>706</v>
      </c>
      <c r="I102" s="6" t="s">
        <v>700</v>
      </c>
      <c r="J102" s="6" t="s">
        <v>701</v>
      </c>
      <c r="K102" s="6" t="s">
        <v>702</v>
      </c>
      <c r="L102" s="29" t="n">
        <v>9</v>
      </c>
      <c r="M102" s="6" t="s">
        <v>587</v>
      </c>
      <c r="N102" s="6" t="s">
        <v>678</v>
      </c>
      <c r="O102" s="6" t="s">
        <v>703</v>
      </c>
      <c r="P102" s="6" t="s">
        <v>704</v>
      </c>
      <c r="Q102" s="6"/>
      <c r="R102" s="6"/>
      <c r="S102" s="6"/>
      <c r="T102" s="6"/>
      <c r="U102" s="6"/>
      <c r="V102" s="6"/>
      <c r="W102" s="6"/>
      <c r="X102" s="6"/>
      <c r="Y102" s="6"/>
      <c r="Z102" s="6"/>
      <c r="AA102" s="6"/>
      <c r="AB102" s="6"/>
      <c r="AC102" s="6"/>
      <c r="AD102" s="30" t="s">
        <v>208</v>
      </c>
      <c r="AE102" s="30" t="s">
        <v>237</v>
      </c>
      <c r="AF102" s="31"/>
      <c r="AG102" s="32"/>
      <c r="AH102" s="31"/>
      <c r="AI102" s="32"/>
      <c r="AJ102" s="33" t="s">
        <v>127</v>
      </c>
      <c r="AK102" s="34"/>
      <c r="AL102" s="34"/>
      <c r="AM102" s="35"/>
      <c r="AN102" s="36" t="str">
        <f aca="false">IF(AD102&lt;&gt;"Y","Out of scope",IF(AF102="","Awaiting response",IF(AND(OR(AF102="Yes",AF102="Partial"),AG102=""),"No detail: treat as unanswered",IF(AND(AF102="Yes",AI102=""),"No evidence link",IF(AND(AJ102="Gap",OR(AL102="",AM102="")),"Gap needs owner and due date","OK")))))</f>
        <v>Awaiting response</v>
      </c>
    </row>
    <row r="103" customFormat="false" ht="57.45" hidden="false" customHeight="false" outlineLevel="0" collapsed="false">
      <c r="A103" s="28" t="s">
        <v>707</v>
      </c>
      <c r="B103" s="6" t="s">
        <v>697</v>
      </c>
      <c r="C103" s="6" t="s">
        <v>698</v>
      </c>
      <c r="D103" s="6" t="s">
        <v>147</v>
      </c>
      <c r="E103" s="29" t="s">
        <v>232</v>
      </c>
      <c r="F103" s="29" t="s">
        <v>31</v>
      </c>
      <c r="G103" s="29" t="s">
        <v>38</v>
      </c>
      <c r="H103" s="6" t="s">
        <v>708</v>
      </c>
      <c r="I103" s="6" t="s">
        <v>700</v>
      </c>
      <c r="J103" s="6" t="s">
        <v>701</v>
      </c>
      <c r="K103" s="6" t="s">
        <v>702</v>
      </c>
      <c r="L103" s="29" t="n">
        <v>9</v>
      </c>
      <c r="M103" s="6" t="s">
        <v>587</v>
      </c>
      <c r="N103" s="6" t="s">
        <v>678</v>
      </c>
      <c r="O103" s="6" t="s">
        <v>703</v>
      </c>
      <c r="P103" s="6" t="s">
        <v>704</v>
      </c>
      <c r="Q103" s="6"/>
      <c r="R103" s="6"/>
      <c r="S103" s="6"/>
      <c r="T103" s="6"/>
      <c r="U103" s="6"/>
      <c r="V103" s="6"/>
      <c r="W103" s="6"/>
      <c r="X103" s="6"/>
      <c r="Y103" s="6"/>
      <c r="Z103" s="6"/>
      <c r="AA103" s="6"/>
      <c r="AB103" s="6"/>
      <c r="AC103" s="6"/>
      <c r="AD103" s="30" t="s">
        <v>208</v>
      </c>
      <c r="AE103" s="30" t="s">
        <v>237</v>
      </c>
      <c r="AF103" s="31"/>
      <c r="AG103" s="32"/>
      <c r="AH103" s="31"/>
      <c r="AI103" s="32"/>
      <c r="AJ103" s="33" t="s">
        <v>127</v>
      </c>
      <c r="AK103" s="34"/>
      <c r="AL103" s="34"/>
      <c r="AM103" s="35"/>
      <c r="AN103" s="36" t="str">
        <f aca="false">IF(AD103&lt;&gt;"Y","Out of scope",IF(AF103="","Awaiting response",IF(AND(OR(AF103="Yes",AF103="Partial"),AG103=""),"No detail: treat as unanswered",IF(AND(AF103="Yes",AI103=""),"No evidence link",IF(AND(AJ103="Gap",OR(AL103="",AM103="")),"Gap needs owner and due date","OK")))))</f>
        <v>Awaiting response</v>
      </c>
    </row>
    <row r="104" customFormat="false" ht="57.45" hidden="false" customHeight="false" outlineLevel="0" collapsed="false">
      <c r="A104" s="28" t="s">
        <v>709</v>
      </c>
      <c r="B104" s="6" t="s">
        <v>697</v>
      </c>
      <c r="C104" s="6" t="s">
        <v>698</v>
      </c>
      <c r="D104" s="6" t="s">
        <v>147</v>
      </c>
      <c r="E104" s="29" t="s">
        <v>232</v>
      </c>
      <c r="F104" s="29" t="s">
        <v>31</v>
      </c>
      <c r="G104" s="29" t="s">
        <v>38</v>
      </c>
      <c r="H104" s="6" t="s">
        <v>710</v>
      </c>
      <c r="I104" s="6" t="s">
        <v>700</v>
      </c>
      <c r="J104" s="6" t="s">
        <v>701</v>
      </c>
      <c r="K104" s="6" t="s">
        <v>702</v>
      </c>
      <c r="L104" s="29" t="n">
        <v>9</v>
      </c>
      <c r="M104" s="6" t="s">
        <v>587</v>
      </c>
      <c r="N104" s="6" t="s">
        <v>678</v>
      </c>
      <c r="O104" s="6" t="s">
        <v>703</v>
      </c>
      <c r="P104" s="6" t="s">
        <v>704</v>
      </c>
      <c r="Q104" s="6"/>
      <c r="R104" s="6"/>
      <c r="S104" s="6"/>
      <c r="T104" s="6"/>
      <c r="U104" s="6"/>
      <c r="V104" s="6"/>
      <c r="W104" s="6"/>
      <c r="X104" s="6"/>
      <c r="Y104" s="6"/>
      <c r="Z104" s="6"/>
      <c r="AA104" s="6"/>
      <c r="AB104" s="6"/>
      <c r="AC104" s="6"/>
      <c r="AD104" s="30" t="s">
        <v>208</v>
      </c>
      <c r="AE104" s="30" t="s">
        <v>237</v>
      </c>
      <c r="AF104" s="31"/>
      <c r="AG104" s="32"/>
      <c r="AH104" s="31"/>
      <c r="AI104" s="32"/>
      <c r="AJ104" s="33" t="s">
        <v>127</v>
      </c>
      <c r="AK104" s="34"/>
      <c r="AL104" s="34"/>
      <c r="AM104" s="35"/>
      <c r="AN104" s="36" t="str">
        <f aca="false">IF(AD104&lt;&gt;"Y","Out of scope",IF(AF104="","Awaiting response",IF(AND(OR(AF104="Yes",AF104="Partial"),AG104=""),"No detail: treat as unanswered",IF(AND(AF104="Yes",AI104=""),"No evidence link",IF(AND(AJ104="Gap",OR(AL104="",AM104="")),"Gap needs owner and due date","OK")))))</f>
        <v>Awaiting response</v>
      </c>
    </row>
    <row r="105" customFormat="false" ht="57.45" hidden="false" customHeight="false" outlineLevel="0" collapsed="false">
      <c r="A105" s="28" t="s">
        <v>711</v>
      </c>
      <c r="B105" s="6" t="s">
        <v>697</v>
      </c>
      <c r="C105" s="6" t="s">
        <v>698</v>
      </c>
      <c r="D105" s="6" t="s">
        <v>147</v>
      </c>
      <c r="E105" s="29" t="s">
        <v>232</v>
      </c>
      <c r="F105" s="29" t="s">
        <v>31</v>
      </c>
      <c r="G105" s="29" t="s">
        <v>38</v>
      </c>
      <c r="H105" s="6" t="s">
        <v>712</v>
      </c>
      <c r="I105" s="6" t="s">
        <v>700</v>
      </c>
      <c r="J105" s="6" t="s">
        <v>701</v>
      </c>
      <c r="K105" s="6" t="s">
        <v>702</v>
      </c>
      <c r="L105" s="29" t="n">
        <v>9</v>
      </c>
      <c r="M105" s="6" t="s">
        <v>587</v>
      </c>
      <c r="N105" s="6" t="s">
        <v>678</v>
      </c>
      <c r="O105" s="6" t="s">
        <v>703</v>
      </c>
      <c r="P105" s="6" t="s">
        <v>704</v>
      </c>
      <c r="Q105" s="6"/>
      <c r="R105" s="6"/>
      <c r="S105" s="6"/>
      <c r="T105" s="6"/>
      <c r="U105" s="6"/>
      <c r="V105" s="6"/>
      <c r="W105" s="6"/>
      <c r="X105" s="6"/>
      <c r="Y105" s="6"/>
      <c r="Z105" s="6"/>
      <c r="AA105" s="6"/>
      <c r="AB105" s="6"/>
      <c r="AC105" s="6"/>
      <c r="AD105" s="30" t="s">
        <v>208</v>
      </c>
      <c r="AE105" s="30" t="s">
        <v>237</v>
      </c>
      <c r="AF105" s="31"/>
      <c r="AG105" s="32"/>
      <c r="AH105" s="31"/>
      <c r="AI105" s="32"/>
      <c r="AJ105" s="33" t="s">
        <v>127</v>
      </c>
      <c r="AK105" s="34"/>
      <c r="AL105" s="34"/>
      <c r="AM105" s="35"/>
      <c r="AN105" s="36" t="str">
        <f aca="false">IF(AD105&lt;&gt;"Y","Out of scope",IF(AF105="","Awaiting response",IF(AND(OR(AF105="Yes",AF105="Partial"),AG105=""),"No detail: treat as unanswered",IF(AND(AF105="Yes",AI105=""),"No evidence link",IF(AND(AJ105="Gap",OR(AL105="",AM105="")),"Gap needs owner and due date","OK")))))</f>
        <v>Awaiting response</v>
      </c>
    </row>
    <row r="106" customFormat="false" ht="57.45" hidden="false" customHeight="false" outlineLevel="0" collapsed="false">
      <c r="A106" s="28" t="s">
        <v>713</v>
      </c>
      <c r="B106" s="6" t="s">
        <v>697</v>
      </c>
      <c r="C106" s="6" t="s">
        <v>698</v>
      </c>
      <c r="D106" s="6" t="s">
        <v>147</v>
      </c>
      <c r="E106" s="29" t="s">
        <v>232</v>
      </c>
      <c r="F106" s="29" t="s">
        <v>31</v>
      </c>
      <c r="G106" s="29" t="s">
        <v>38</v>
      </c>
      <c r="H106" s="6" t="s">
        <v>714</v>
      </c>
      <c r="I106" s="6" t="s">
        <v>700</v>
      </c>
      <c r="J106" s="6" t="s">
        <v>701</v>
      </c>
      <c r="K106" s="6" t="s">
        <v>702</v>
      </c>
      <c r="L106" s="29" t="n">
        <v>9</v>
      </c>
      <c r="M106" s="6" t="s">
        <v>587</v>
      </c>
      <c r="N106" s="6" t="s">
        <v>678</v>
      </c>
      <c r="O106" s="6" t="s">
        <v>703</v>
      </c>
      <c r="P106" s="6" t="s">
        <v>704</v>
      </c>
      <c r="Q106" s="6"/>
      <c r="R106" s="6"/>
      <c r="S106" s="6"/>
      <c r="T106" s="6"/>
      <c r="U106" s="6"/>
      <c r="V106" s="6"/>
      <c r="W106" s="6"/>
      <c r="X106" s="6"/>
      <c r="Y106" s="6"/>
      <c r="Z106" s="6"/>
      <c r="AA106" s="6"/>
      <c r="AB106" s="6"/>
      <c r="AC106" s="6"/>
      <c r="AD106" s="30" t="s">
        <v>208</v>
      </c>
      <c r="AE106" s="30" t="s">
        <v>237</v>
      </c>
      <c r="AF106" s="31"/>
      <c r="AG106" s="32"/>
      <c r="AH106" s="31"/>
      <c r="AI106" s="32"/>
      <c r="AJ106" s="33" t="s">
        <v>127</v>
      </c>
      <c r="AK106" s="34"/>
      <c r="AL106" s="34"/>
      <c r="AM106" s="35"/>
      <c r="AN106" s="36" t="str">
        <f aca="false">IF(AD106&lt;&gt;"Y","Out of scope",IF(AF106="","Awaiting response",IF(AND(OR(AF106="Yes",AF106="Partial"),AG106=""),"No detail: treat as unanswered",IF(AND(AF106="Yes",AI106=""),"No evidence link",IF(AND(AJ106="Gap",OR(AL106="",AM106="")),"Gap needs owner and due date","OK")))))</f>
        <v>Awaiting response</v>
      </c>
    </row>
    <row r="107" customFormat="false" ht="79.85" hidden="false" customHeight="false" outlineLevel="0" collapsed="false">
      <c r="A107" s="28" t="s">
        <v>715</v>
      </c>
      <c r="B107" s="6" t="s">
        <v>716</v>
      </c>
      <c r="C107" s="6" t="s">
        <v>717</v>
      </c>
      <c r="D107" s="6" t="s">
        <v>147</v>
      </c>
      <c r="E107" s="29" t="s">
        <v>197</v>
      </c>
      <c r="F107" s="29" t="s">
        <v>33</v>
      </c>
      <c r="G107" s="29" t="s">
        <v>38</v>
      </c>
      <c r="H107" s="6" t="s">
        <v>718</v>
      </c>
      <c r="I107" s="6" t="s">
        <v>719</v>
      </c>
      <c r="J107" s="6" t="s">
        <v>720</v>
      </c>
      <c r="K107" s="6" t="s">
        <v>721</v>
      </c>
      <c r="L107" s="29" t="n">
        <v>12</v>
      </c>
      <c r="M107" s="6" t="s">
        <v>260</v>
      </c>
      <c r="N107" s="6" t="s">
        <v>722</v>
      </c>
      <c r="O107" s="6" t="s">
        <v>723</v>
      </c>
      <c r="P107" s="6" t="s">
        <v>724</v>
      </c>
      <c r="Q107" s="6"/>
      <c r="R107" s="6"/>
      <c r="S107" s="6"/>
      <c r="T107" s="6"/>
      <c r="U107" s="6"/>
      <c r="V107" s="6"/>
      <c r="W107" s="6"/>
      <c r="X107" s="6"/>
      <c r="Y107" s="6"/>
      <c r="Z107" s="6"/>
      <c r="AA107" s="6"/>
      <c r="AB107" s="6"/>
      <c r="AC107" s="6"/>
      <c r="AD107" s="30" t="s">
        <v>208</v>
      </c>
      <c r="AE107" s="30" t="s">
        <v>208</v>
      </c>
      <c r="AF107" s="31"/>
      <c r="AG107" s="32"/>
      <c r="AH107" s="31"/>
      <c r="AI107" s="32"/>
      <c r="AJ107" s="33" t="s">
        <v>127</v>
      </c>
      <c r="AK107" s="34"/>
      <c r="AL107" s="34"/>
      <c r="AM107" s="35"/>
      <c r="AN107" s="36" t="str">
        <f aca="false">IF(AD107&lt;&gt;"Y","Out of scope",IF(AF107="","Awaiting response",IF(AND(OR(AF107="Yes",AF107="Partial"),AG107=""),"No detail: treat as unanswered",IF(AND(AF107="Yes",AI107=""),"No evidence link",IF(AND(AJ107="Gap",OR(AL107="",AM107="")),"Gap needs owner and due date","OK")))))</f>
        <v>Awaiting response</v>
      </c>
    </row>
    <row r="108" customFormat="false" ht="79.85" hidden="false" customHeight="false" outlineLevel="0" collapsed="false">
      <c r="A108" s="28" t="s">
        <v>725</v>
      </c>
      <c r="B108" s="6" t="s">
        <v>716</v>
      </c>
      <c r="C108" s="6" t="s">
        <v>717</v>
      </c>
      <c r="D108" s="6" t="s">
        <v>147</v>
      </c>
      <c r="E108" s="29" t="s">
        <v>197</v>
      </c>
      <c r="F108" s="29" t="s">
        <v>33</v>
      </c>
      <c r="G108" s="29" t="s">
        <v>38</v>
      </c>
      <c r="H108" s="6" t="s">
        <v>726</v>
      </c>
      <c r="I108" s="6" t="s">
        <v>719</v>
      </c>
      <c r="J108" s="6" t="s">
        <v>720</v>
      </c>
      <c r="K108" s="6" t="s">
        <v>721</v>
      </c>
      <c r="L108" s="29" t="n">
        <v>12</v>
      </c>
      <c r="M108" s="6" t="s">
        <v>260</v>
      </c>
      <c r="N108" s="6" t="s">
        <v>722</v>
      </c>
      <c r="O108" s="6" t="s">
        <v>723</v>
      </c>
      <c r="P108" s="6" t="s">
        <v>724</v>
      </c>
      <c r="Q108" s="6"/>
      <c r="R108" s="6"/>
      <c r="S108" s="6"/>
      <c r="T108" s="6"/>
      <c r="U108" s="6"/>
      <c r="V108" s="6"/>
      <c r="W108" s="6"/>
      <c r="X108" s="6"/>
      <c r="Y108" s="6"/>
      <c r="Z108" s="6"/>
      <c r="AA108" s="6"/>
      <c r="AB108" s="6"/>
      <c r="AC108" s="6"/>
      <c r="AD108" s="30" t="s">
        <v>208</v>
      </c>
      <c r="AE108" s="30" t="s">
        <v>208</v>
      </c>
      <c r="AF108" s="31"/>
      <c r="AG108" s="32"/>
      <c r="AH108" s="31"/>
      <c r="AI108" s="32"/>
      <c r="AJ108" s="33" t="s">
        <v>127</v>
      </c>
      <c r="AK108" s="34"/>
      <c r="AL108" s="34"/>
      <c r="AM108" s="35"/>
      <c r="AN108" s="36" t="str">
        <f aca="false">IF(AD108&lt;&gt;"Y","Out of scope",IF(AF108="","Awaiting response",IF(AND(OR(AF108="Yes",AF108="Partial"),AG108=""),"No detail: treat as unanswered",IF(AND(AF108="Yes",AI108=""),"No evidence link",IF(AND(AJ108="Gap",OR(AL108="",AM108="")),"Gap needs owner and due date","OK")))))</f>
        <v>Awaiting response</v>
      </c>
    </row>
    <row r="109" customFormat="false" ht="57.45" hidden="false" customHeight="false" outlineLevel="0" collapsed="false">
      <c r="A109" s="28" t="s">
        <v>727</v>
      </c>
      <c r="B109" s="6" t="s">
        <v>728</v>
      </c>
      <c r="C109" s="6" t="s">
        <v>729</v>
      </c>
      <c r="D109" s="6" t="s">
        <v>156</v>
      </c>
      <c r="E109" s="29" t="s">
        <v>232</v>
      </c>
      <c r="F109" s="29" t="s">
        <v>33</v>
      </c>
      <c r="G109" s="29" t="s">
        <v>42</v>
      </c>
      <c r="H109" s="6" t="s">
        <v>730</v>
      </c>
      <c r="I109" s="6" t="s">
        <v>731</v>
      </c>
      <c r="J109" s="6" t="s">
        <v>732</v>
      </c>
      <c r="K109" s="6" t="s">
        <v>733</v>
      </c>
      <c r="L109" s="29" t="n">
        <v>20</v>
      </c>
      <c r="M109" s="6" t="s">
        <v>734</v>
      </c>
      <c r="N109" s="6" t="s">
        <v>261</v>
      </c>
      <c r="O109" s="6" t="s">
        <v>735</v>
      </c>
      <c r="P109" s="6" t="s">
        <v>736</v>
      </c>
      <c r="Q109" s="6" t="s">
        <v>737</v>
      </c>
      <c r="R109" s="6" t="s">
        <v>738</v>
      </c>
      <c r="S109" s="6"/>
      <c r="T109" s="6"/>
      <c r="U109" s="6"/>
      <c r="V109" s="6" t="s">
        <v>739</v>
      </c>
      <c r="W109" s="6"/>
      <c r="X109" s="6"/>
      <c r="Y109" s="6"/>
      <c r="Z109" s="6"/>
      <c r="AA109" s="6"/>
      <c r="AB109" s="6"/>
      <c r="AC109" s="6"/>
      <c r="AD109" s="30" t="s">
        <v>208</v>
      </c>
      <c r="AE109" s="30" t="s">
        <v>237</v>
      </c>
      <c r="AF109" s="31"/>
      <c r="AG109" s="32"/>
      <c r="AH109" s="31"/>
      <c r="AI109" s="32"/>
      <c r="AJ109" s="33" t="s">
        <v>127</v>
      </c>
      <c r="AK109" s="34"/>
      <c r="AL109" s="34"/>
      <c r="AM109" s="35"/>
      <c r="AN109" s="36" t="str">
        <f aca="false">IF(AD109&lt;&gt;"Y","Out of scope",IF(AF109="","Awaiting response",IF(AND(OR(AF109="Yes",AF109="Partial"),AG109=""),"No detail: treat as unanswered",IF(AND(AF109="Yes",AI109=""),"No evidence link",IF(AND(AJ109="Gap",OR(AL109="",AM109="")),"Gap needs owner and due date","OK")))))</f>
        <v>Awaiting response</v>
      </c>
    </row>
    <row r="110" customFormat="false" ht="57.45" hidden="false" customHeight="false" outlineLevel="0" collapsed="false">
      <c r="A110" s="28" t="s">
        <v>740</v>
      </c>
      <c r="B110" s="6" t="s">
        <v>728</v>
      </c>
      <c r="C110" s="6" t="s">
        <v>729</v>
      </c>
      <c r="D110" s="6" t="s">
        <v>156</v>
      </c>
      <c r="E110" s="29" t="s">
        <v>232</v>
      </c>
      <c r="F110" s="29" t="s">
        <v>33</v>
      </c>
      <c r="G110" s="29" t="s">
        <v>42</v>
      </c>
      <c r="H110" s="6" t="s">
        <v>741</v>
      </c>
      <c r="I110" s="6" t="s">
        <v>731</v>
      </c>
      <c r="J110" s="6" t="s">
        <v>732</v>
      </c>
      <c r="K110" s="6" t="s">
        <v>733</v>
      </c>
      <c r="L110" s="29" t="n">
        <v>20</v>
      </c>
      <c r="M110" s="6" t="s">
        <v>734</v>
      </c>
      <c r="N110" s="6" t="s">
        <v>261</v>
      </c>
      <c r="O110" s="6" t="s">
        <v>735</v>
      </c>
      <c r="P110" s="6" t="s">
        <v>736</v>
      </c>
      <c r="Q110" s="6" t="s">
        <v>737</v>
      </c>
      <c r="R110" s="6" t="s">
        <v>738</v>
      </c>
      <c r="S110" s="6"/>
      <c r="T110" s="6"/>
      <c r="U110" s="6"/>
      <c r="V110" s="6" t="s">
        <v>739</v>
      </c>
      <c r="W110" s="6"/>
      <c r="X110" s="6"/>
      <c r="Y110" s="6"/>
      <c r="Z110" s="6"/>
      <c r="AA110" s="6"/>
      <c r="AB110" s="6"/>
      <c r="AC110" s="6"/>
      <c r="AD110" s="30" t="s">
        <v>208</v>
      </c>
      <c r="AE110" s="30" t="s">
        <v>237</v>
      </c>
      <c r="AF110" s="31"/>
      <c r="AG110" s="32"/>
      <c r="AH110" s="31"/>
      <c r="AI110" s="32"/>
      <c r="AJ110" s="33" t="s">
        <v>127</v>
      </c>
      <c r="AK110" s="34"/>
      <c r="AL110" s="34"/>
      <c r="AM110" s="35"/>
      <c r="AN110" s="36" t="str">
        <f aca="false">IF(AD110&lt;&gt;"Y","Out of scope",IF(AF110="","Awaiting response",IF(AND(OR(AF110="Yes",AF110="Partial"),AG110=""),"No detail: treat as unanswered",IF(AND(AF110="Yes",AI110=""),"No evidence link",IF(AND(AJ110="Gap",OR(AL110="",AM110="")),"Gap needs owner and due date","OK")))))</f>
        <v>Awaiting response</v>
      </c>
    </row>
    <row r="111" customFormat="false" ht="57.45" hidden="false" customHeight="false" outlineLevel="0" collapsed="false">
      <c r="A111" s="28" t="s">
        <v>742</v>
      </c>
      <c r="B111" s="6" t="s">
        <v>728</v>
      </c>
      <c r="C111" s="6" t="s">
        <v>729</v>
      </c>
      <c r="D111" s="6" t="s">
        <v>156</v>
      </c>
      <c r="E111" s="29" t="s">
        <v>232</v>
      </c>
      <c r="F111" s="29" t="s">
        <v>33</v>
      </c>
      <c r="G111" s="29" t="s">
        <v>42</v>
      </c>
      <c r="H111" s="6" t="s">
        <v>743</v>
      </c>
      <c r="I111" s="6" t="s">
        <v>731</v>
      </c>
      <c r="J111" s="6" t="s">
        <v>732</v>
      </c>
      <c r="K111" s="6" t="s">
        <v>733</v>
      </c>
      <c r="L111" s="29" t="n">
        <v>20</v>
      </c>
      <c r="M111" s="6" t="s">
        <v>734</v>
      </c>
      <c r="N111" s="6" t="s">
        <v>261</v>
      </c>
      <c r="O111" s="6" t="s">
        <v>735</v>
      </c>
      <c r="P111" s="6" t="s">
        <v>736</v>
      </c>
      <c r="Q111" s="6" t="s">
        <v>737</v>
      </c>
      <c r="R111" s="6" t="s">
        <v>738</v>
      </c>
      <c r="S111" s="6"/>
      <c r="T111" s="6"/>
      <c r="U111" s="6"/>
      <c r="V111" s="6" t="s">
        <v>739</v>
      </c>
      <c r="W111" s="6"/>
      <c r="X111" s="6"/>
      <c r="Y111" s="6"/>
      <c r="Z111" s="6"/>
      <c r="AA111" s="6"/>
      <c r="AB111" s="6"/>
      <c r="AC111" s="6"/>
      <c r="AD111" s="30" t="s">
        <v>208</v>
      </c>
      <c r="AE111" s="30" t="s">
        <v>237</v>
      </c>
      <c r="AF111" s="31"/>
      <c r="AG111" s="32"/>
      <c r="AH111" s="31"/>
      <c r="AI111" s="32"/>
      <c r="AJ111" s="33" t="s">
        <v>127</v>
      </c>
      <c r="AK111" s="34"/>
      <c r="AL111" s="34"/>
      <c r="AM111" s="35"/>
      <c r="AN111" s="36" t="str">
        <f aca="false">IF(AD111&lt;&gt;"Y","Out of scope",IF(AF111="","Awaiting response",IF(AND(OR(AF111="Yes",AF111="Partial"),AG111=""),"No detail: treat as unanswered",IF(AND(AF111="Yes",AI111=""),"No evidence link",IF(AND(AJ111="Gap",OR(AL111="",AM111="")),"Gap needs owner and due date","OK")))))</f>
        <v>Awaiting response</v>
      </c>
    </row>
    <row r="112" customFormat="false" ht="79.85" hidden="false" customHeight="false" outlineLevel="0" collapsed="false">
      <c r="A112" s="28" t="s">
        <v>744</v>
      </c>
      <c r="B112" s="6" t="s">
        <v>745</v>
      </c>
      <c r="C112" s="6" t="s">
        <v>746</v>
      </c>
      <c r="D112" s="6" t="s">
        <v>156</v>
      </c>
      <c r="E112" s="29" t="s">
        <v>232</v>
      </c>
      <c r="F112" s="29" t="s">
        <v>31</v>
      </c>
      <c r="G112" s="29" t="s">
        <v>38</v>
      </c>
      <c r="H112" s="6" t="s">
        <v>747</v>
      </c>
      <c r="I112" s="6" t="s">
        <v>748</v>
      </c>
      <c r="J112" s="6" t="s">
        <v>749</v>
      </c>
      <c r="K112" s="6" t="s">
        <v>733</v>
      </c>
      <c r="L112" s="29" t="n">
        <v>18</v>
      </c>
      <c r="M112" s="6" t="s">
        <v>750</v>
      </c>
      <c r="N112" s="6" t="s">
        <v>751</v>
      </c>
      <c r="O112" s="6" t="s">
        <v>752</v>
      </c>
      <c r="P112" s="6" t="s">
        <v>753</v>
      </c>
      <c r="Q112" s="6" t="s">
        <v>754</v>
      </c>
      <c r="R112" s="6" t="s">
        <v>755</v>
      </c>
      <c r="S112" s="6" t="s">
        <v>756</v>
      </c>
      <c r="T112" s="6" t="s">
        <v>757</v>
      </c>
      <c r="U112" s="6"/>
      <c r="V112" s="6" t="s">
        <v>758</v>
      </c>
      <c r="W112" s="6"/>
      <c r="X112" s="6"/>
      <c r="Y112" s="6"/>
      <c r="Z112" s="6"/>
      <c r="AA112" s="6" t="s">
        <v>759</v>
      </c>
      <c r="AB112" s="6"/>
      <c r="AC112" s="6" t="s">
        <v>760</v>
      </c>
      <c r="AD112" s="30" t="s">
        <v>208</v>
      </c>
      <c r="AE112" s="30" t="s">
        <v>237</v>
      </c>
      <c r="AF112" s="31"/>
      <c r="AG112" s="32"/>
      <c r="AH112" s="31"/>
      <c r="AI112" s="32"/>
      <c r="AJ112" s="33" t="s">
        <v>127</v>
      </c>
      <c r="AK112" s="34"/>
      <c r="AL112" s="34"/>
      <c r="AM112" s="35"/>
      <c r="AN112" s="36" t="str">
        <f aca="false">IF(AD112&lt;&gt;"Y","Out of scope",IF(AF112="","Awaiting response",IF(AND(OR(AF112="Yes",AF112="Partial"),AG112=""),"No detail: treat as unanswered",IF(AND(AF112="Yes",AI112=""),"No evidence link",IF(AND(AJ112="Gap",OR(AL112="",AM112="")),"Gap needs owner and due date","OK")))))</f>
        <v>Awaiting response</v>
      </c>
    </row>
    <row r="113" customFormat="false" ht="79.85" hidden="false" customHeight="false" outlineLevel="0" collapsed="false">
      <c r="A113" s="28" t="s">
        <v>761</v>
      </c>
      <c r="B113" s="6" t="s">
        <v>745</v>
      </c>
      <c r="C113" s="6" t="s">
        <v>746</v>
      </c>
      <c r="D113" s="6" t="s">
        <v>156</v>
      </c>
      <c r="E113" s="29" t="s">
        <v>232</v>
      </c>
      <c r="F113" s="29" t="s">
        <v>31</v>
      </c>
      <c r="G113" s="29" t="s">
        <v>38</v>
      </c>
      <c r="H113" s="6" t="s">
        <v>762</v>
      </c>
      <c r="I113" s="6" t="s">
        <v>748</v>
      </c>
      <c r="J113" s="6" t="s">
        <v>749</v>
      </c>
      <c r="K113" s="6" t="s">
        <v>733</v>
      </c>
      <c r="L113" s="29" t="n">
        <v>18</v>
      </c>
      <c r="M113" s="6" t="s">
        <v>750</v>
      </c>
      <c r="N113" s="6" t="s">
        <v>751</v>
      </c>
      <c r="O113" s="6" t="s">
        <v>752</v>
      </c>
      <c r="P113" s="6" t="s">
        <v>753</v>
      </c>
      <c r="Q113" s="6" t="s">
        <v>754</v>
      </c>
      <c r="R113" s="6" t="s">
        <v>755</v>
      </c>
      <c r="S113" s="6" t="s">
        <v>756</v>
      </c>
      <c r="T113" s="6" t="s">
        <v>757</v>
      </c>
      <c r="U113" s="6"/>
      <c r="V113" s="6" t="s">
        <v>758</v>
      </c>
      <c r="W113" s="6"/>
      <c r="X113" s="6"/>
      <c r="Y113" s="6"/>
      <c r="Z113" s="6"/>
      <c r="AA113" s="6" t="s">
        <v>759</v>
      </c>
      <c r="AB113" s="6"/>
      <c r="AC113" s="6" t="s">
        <v>760</v>
      </c>
      <c r="AD113" s="30" t="s">
        <v>208</v>
      </c>
      <c r="AE113" s="30" t="s">
        <v>237</v>
      </c>
      <c r="AF113" s="31"/>
      <c r="AG113" s="32"/>
      <c r="AH113" s="31"/>
      <c r="AI113" s="32"/>
      <c r="AJ113" s="33" t="s">
        <v>127</v>
      </c>
      <c r="AK113" s="34"/>
      <c r="AL113" s="34"/>
      <c r="AM113" s="35"/>
      <c r="AN113" s="36" t="str">
        <f aca="false">IF(AD113&lt;&gt;"Y","Out of scope",IF(AF113="","Awaiting response",IF(AND(OR(AF113="Yes",AF113="Partial"),AG113=""),"No detail: treat as unanswered",IF(AND(AF113="Yes",AI113=""),"No evidence link",IF(AND(AJ113="Gap",OR(AL113="",AM113="")),"Gap needs owner and due date","OK")))))</f>
        <v>Awaiting response</v>
      </c>
    </row>
    <row r="114" customFormat="false" ht="79.85" hidden="false" customHeight="false" outlineLevel="0" collapsed="false">
      <c r="A114" s="28" t="s">
        <v>763</v>
      </c>
      <c r="B114" s="6" t="s">
        <v>745</v>
      </c>
      <c r="C114" s="6" t="s">
        <v>746</v>
      </c>
      <c r="D114" s="6" t="s">
        <v>156</v>
      </c>
      <c r="E114" s="29" t="s">
        <v>232</v>
      </c>
      <c r="F114" s="29" t="s">
        <v>31</v>
      </c>
      <c r="G114" s="29" t="s">
        <v>38</v>
      </c>
      <c r="H114" s="6" t="s">
        <v>764</v>
      </c>
      <c r="I114" s="6" t="s">
        <v>748</v>
      </c>
      <c r="J114" s="6" t="s">
        <v>749</v>
      </c>
      <c r="K114" s="6" t="s">
        <v>733</v>
      </c>
      <c r="L114" s="29" t="n">
        <v>18</v>
      </c>
      <c r="M114" s="6" t="s">
        <v>750</v>
      </c>
      <c r="N114" s="6" t="s">
        <v>751</v>
      </c>
      <c r="O114" s="6" t="s">
        <v>752</v>
      </c>
      <c r="P114" s="6" t="s">
        <v>753</v>
      </c>
      <c r="Q114" s="6" t="s">
        <v>754</v>
      </c>
      <c r="R114" s="6" t="s">
        <v>755</v>
      </c>
      <c r="S114" s="6" t="s">
        <v>756</v>
      </c>
      <c r="T114" s="6" t="s">
        <v>757</v>
      </c>
      <c r="U114" s="6"/>
      <c r="V114" s="6" t="s">
        <v>758</v>
      </c>
      <c r="W114" s="6"/>
      <c r="X114" s="6"/>
      <c r="Y114" s="6"/>
      <c r="Z114" s="6"/>
      <c r="AA114" s="6" t="s">
        <v>759</v>
      </c>
      <c r="AB114" s="6"/>
      <c r="AC114" s="6" t="s">
        <v>760</v>
      </c>
      <c r="AD114" s="30" t="s">
        <v>208</v>
      </c>
      <c r="AE114" s="30" t="s">
        <v>237</v>
      </c>
      <c r="AF114" s="31"/>
      <c r="AG114" s="32"/>
      <c r="AH114" s="31"/>
      <c r="AI114" s="32"/>
      <c r="AJ114" s="33" t="s">
        <v>127</v>
      </c>
      <c r="AK114" s="34"/>
      <c r="AL114" s="34"/>
      <c r="AM114" s="35"/>
      <c r="AN114" s="36" t="str">
        <f aca="false">IF(AD114&lt;&gt;"Y","Out of scope",IF(AF114="","Awaiting response",IF(AND(OR(AF114="Yes",AF114="Partial"),AG114=""),"No detail: treat as unanswered",IF(AND(AF114="Yes",AI114=""),"No evidence link",IF(AND(AJ114="Gap",OR(AL114="",AM114="")),"Gap needs owner and due date","OK")))))</f>
        <v>Awaiting response</v>
      </c>
    </row>
    <row r="115" customFormat="false" ht="79.85" hidden="false" customHeight="false" outlineLevel="0" collapsed="false">
      <c r="A115" s="28" t="s">
        <v>765</v>
      </c>
      <c r="B115" s="6" t="s">
        <v>745</v>
      </c>
      <c r="C115" s="6" t="s">
        <v>746</v>
      </c>
      <c r="D115" s="6" t="s">
        <v>156</v>
      </c>
      <c r="E115" s="29" t="s">
        <v>232</v>
      </c>
      <c r="F115" s="29" t="s">
        <v>31</v>
      </c>
      <c r="G115" s="29" t="s">
        <v>38</v>
      </c>
      <c r="H115" s="6" t="s">
        <v>766</v>
      </c>
      <c r="I115" s="6" t="s">
        <v>748</v>
      </c>
      <c r="J115" s="6" t="s">
        <v>749</v>
      </c>
      <c r="K115" s="6" t="s">
        <v>733</v>
      </c>
      <c r="L115" s="29" t="n">
        <v>18</v>
      </c>
      <c r="M115" s="6" t="s">
        <v>750</v>
      </c>
      <c r="N115" s="6" t="s">
        <v>751</v>
      </c>
      <c r="O115" s="6" t="s">
        <v>752</v>
      </c>
      <c r="P115" s="6" t="s">
        <v>753</v>
      </c>
      <c r="Q115" s="6" t="s">
        <v>754</v>
      </c>
      <c r="R115" s="6" t="s">
        <v>755</v>
      </c>
      <c r="S115" s="6" t="s">
        <v>756</v>
      </c>
      <c r="T115" s="6" t="s">
        <v>757</v>
      </c>
      <c r="U115" s="6"/>
      <c r="V115" s="6" t="s">
        <v>758</v>
      </c>
      <c r="W115" s="6"/>
      <c r="X115" s="6"/>
      <c r="Y115" s="6"/>
      <c r="Z115" s="6"/>
      <c r="AA115" s="6" t="s">
        <v>759</v>
      </c>
      <c r="AB115" s="6"/>
      <c r="AC115" s="6" t="s">
        <v>760</v>
      </c>
      <c r="AD115" s="30" t="s">
        <v>208</v>
      </c>
      <c r="AE115" s="30" t="s">
        <v>237</v>
      </c>
      <c r="AF115" s="31"/>
      <c r="AG115" s="32"/>
      <c r="AH115" s="31"/>
      <c r="AI115" s="32"/>
      <c r="AJ115" s="33" t="s">
        <v>127</v>
      </c>
      <c r="AK115" s="34"/>
      <c r="AL115" s="34"/>
      <c r="AM115" s="35"/>
      <c r="AN115" s="36" t="str">
        <f aca="false">IF(AD115&lt;&gt;"Y","Out of scope",IF(AF115="","Awaiting response",IF(AND(OR(AF115="Yes",AF115="Partial"),AG115=""),"No detail: treat as unanswered",IF(AND(AF115="Yes",AI115=""),"No evidence link",IF(AND(AJ115="Gap",OR(AL115="",AM115="")),"Gap needs owner and due date","OK")))))</f>
        <v>Awaiting response</v>
      </c>
    </row>
    <row r="116" customFormat="false" ht="79.85" hidden="false" customHeight="false" outlineLevel="0" collapsed="false">
      <c r="A116" s="28" t="s">
        <v>767</v>
      </c>
      <c r="B116" s="6" t="s">
        <v>745</v>
      </c>
      <c r="C116" s="6" t="s">
        <v>746</v>
      </c>
      <c r="D116" s="6" t="s">
        <v>156</v>
      </c>
      <c r="E116" s="29" t="s">
        <v>232</v>
      </c>
      <c r="F116" s="29" t="s">
        <v>31</v>
      </c>
      <c r="G116" s="29" t="s">
        <v>38</v>
      </c>
      <c r="H116" s="6" t="s">
        <v>768</v>
      </c>
      <c r="I116" s="6" t="s">
        <v>748</v>
      </c>
      <c r="J116" s="6" t="s">
        <v>749</v>
      </c>
      <c r="K116" s="6" t="s">
        <v>733</v>
      </c>
      <c r="L116" s="29" t="n">
        <v>18</v>
      </c>
      <c r="M116" s="6" t="s">
        <v>750</v>
      </c>
      <c r="N116" s="6" t="s">
        <v>751</v>
      </c>
      <c r="O116" s="6" t="s">
        <v>752</v>
      </c>
      <c r="P116" s="6" t="s">
        <v>753</v>
      </c>
      <c r="Q116" s="6" t="s">
        <v>754</v>
      </c>
      <c r="R116" s="6" t="s">
        <v>755</v>
      </c>
      <c r="S116" s="6" t="s">
        <v>756</v>
      </c>
      <c r="T116" s="6" t="s">
        <v>757</v>
      </c>
      <c r="U116" s="6"/>
      <c r="V116" s="6" t="s">
        <v>758</v>
      </c>
      <c r="W116" s="6"/>
      <c r="X116" s="6"/>
      <c r="Y116" s="6"/>
      <c r="Z116" s="6"/>
      <c r="AA116" s="6" t="s">
        <v>759</v>
      </c>
      <c r="AB116" s="6"/>
      <c r="AC116" s="6" t="s">
        <v>760</v>
      </c>
      <c r="AD116" s="30" t="s">
        <v>208</v>
      </c>
      <c r="AE116" s="30" t="s">
        <v>237</v>
      </c>
      <c r="AF116" s="31"/>
      <c r="AG116" s="32"/>
      <c r="AH116" s="31"/>
      <c r="AI116" s="32"/>
      <c r="AJ116" s="33" t="s">
        <v>127</v>
      </c>
      <c r="AK116" s="34"/>
      <c r="AL116" s="34"/>
      <c r="AM116" s="35"/>
      <c r="AN116" s="36" t="str">
        <f aca="false">IF(AD116&lt;&gt;"Y","Out of scope",IF(AF116="","Awaiting response",IF(AND(OR(AF116="Yes",AF116="Partial"),AG116=""),"No detail: treat as unanswered",IF(AND(AF116="Yes",AI116=""),"No evidence link",IF(AND(AJ116="Gap",OR(AL116="",AM116="")),"Gap needs owner and due date","OK")))))</f>
        <v>Awaiting response</v>
      </c>
    </row>
    <row r="117" customFormat="false" ht="124.6" hidden="false" customHeight="false" outlineLevel="0" collapsed="false">
      <c r="A117" s="28" t="s">
        <v>769</v>
      </c>
      <c r="B117" s="6" t="s">
        <v>770</v>
      </c>
      <c r="C117" s="6" t="s">
        <v>771</v>
      </c>
      <c r="D117" s="6" t="s">
        <v>156</v>
      </c>
      <c r="E117" s="29" t="s">
        <v>232</v>
      </c>
      <c r="F117" s="29" t="s">
        <v>33</v>
      </c>
      <c r="G117" s="29" t="s">
        <v>42</v>
      </c>
      <c r="H117" s="6" t="s">
        <v>772</v>
      </c>
      <c r="I117" s="6" t="s">
        <v>773</v>
      </c>
      <c r="J117" s="6" t="s">
        <v>774</v>
      </c>
      <c r="K117" s="6" t="s">
        <v>733</v>
      </c>
      <c r="L117" s="29" t="n">
        <v>16</v>
      </c>
      <c r="M117" s="6" t="s">
        <v>775</v>
      </c>
      <c r="N117" s="6" t="s">
        <v>776</v>
      </c>
      <c r="O117" s="6" t="s">
        <v>777</v>
      </c>
      <c r="P117" s="6" t="s">
        <v>778</v>
      </c>
      <c r="Q117" s="6"/>
      <c r="R117" s="6"/>
      <c r="S117" s="6"/>
      <c r="T117" s="6"/>
      <c r="U117" s="6"/>
      <c r="V117" s="6" t="s">
        <v>779</v>
      </c>
      <c r="W117" s="6"/>
      <c r="X117" s="6"/>
      <c r="Y117" s="6"/>
      <c r="Z117" s="6"/>
      <c r="AA117" s="6"/>
      <c r="AB117" s="6"/>
      <c r="AC117" s="6"/>
      <c r="AD117" s="30" t="s">
        <v>208</v>
      </c>
      <c r="AE117" s="30" t="s">
        <v>237</v>
      </c>
      <c r="AF117" s="31"/>
      <c r="AG117" s="32"/>
      <c r="AH117" s="31"/>
      <c r="AI117" s="32"/>
      <c r="AJ117" s="33" t="s">
        <v>127</v>
      </c>
      <c r="AK117" s="34"/>
      <c r="AL117" s="34"/>
      <c r="AM117" s="35"/>
      <c r="AN117" s="36" t="str">
        <f aca="false">IF(AD117&lt;&gt;"Y","Out of scope",IF(AF117="","Awaiting response",IF(AND(OR(AF117="Yes",AF117="Partial"),AG117=""),"No detail: treat as unanswered",IF(AND(AF117="Yes",AI117=""),"No evidence link",IF(AND(AJ117="Gap",OR(AL117="",AM117="")),"Gap needs owner and due date","OK")))))</f>
        <v>Awaiting response</v>
      </c>
    </row>
    <row r="118" customFormat="false" ht="124.6" hidden="false" customHeight="false" outlineLevel="0" collapsed="false">
      <c r="A118" s="28" t="s">
        <v>780</v>
      </c>
      <c r="B118" s="6" t="s">
        <v>770</v>
      </c>
      <c r="C118" s="6" t="s">
        <v>771</v>
      </c>
      <c r="D118" s="6" t="s">
        <v>156</v>
      </c>
      <c r="E118" s="29" t="s">
        <v>232</v>
      </c>
      <c r="F118" s="29" t="s">
        <v>33</v>
      </c>
      <c r="G118" s="29" t="s">
        <v>42</v>
      </c>
      <c r="H118" s="6" t="s">
        <v>781</v>
      </c>
      <c r="I118" s="6" t="s">
        <v>773</v>
      </c>
      <c r="J118" s="6" t="s">
        <v>774</v>
      </c>
      <c r="K118" s="6" t="s">
        <v>733</v>
      </c>
      <c r="L118" s="29" t="n">
        <v>16</v>
      </c>
      <c r="M118" s="6" t="s">
        <v>775</v>
      </c>
      <c r="N118" s="6" t="s">
        <v>776</v>
      </c>
      <c r="O118" s="6" t="s">
        <v>777</v>
      </c>
      <c r="P118" s="6" t="s">
        <v>778</v>
      </c>
      <c r="Q118" s="6"/>
      <c r="R118" s="6"/>
      <c r="S118" s="6"/>
      <c r="T118" s="6"/>
      <c r="U118" s="6"/>
      <c r="V118" s="6" t="s">
        <v>779</v>
      </c>
      <c r="W118" s="6"/>
      <c r="X118" s="6"/>
      <c r="Y118" s="6"/>
      <c r="Z118" s="6"/>
      <c r="AA118" s="6"/>
      <c r="AB118" s="6"/>
      <c r="AC118" s="6"/>
      <c r="AD118" s="30" t="s">
        <v>208</v>
      </c>
      <c r="AE118" s="30" t="s">
        <v>237</v>
      </c>
      <c r="AF118" s="31"/>
      <c r="AG118" s="32"/>
      <c r="AH118" s="31"/>
      <c r="AI118" s="32"/>
      <c r="AJ118" s="33" t="s">
        <v>127</v>
      </c>
      <c r="AK118" s="34"/>
      <c r="AL118" s="34"/>
      <c r="AM118" s="35"/>
      <c r="AN118" s="36" t="str">
        <f aca="false">IF(AD118&lt;&gt;"Y","Out of scope",IF(AF118="","Awaiting response",IF(AND(OR(AF118="Yes",AF118="Partial"),AG118=""),"No detail: treat as unanswered",IF(AND(AF118="Yes",AI118=""),"No evidence link",IF(AND(AJ118="Gap",OR(AL118="",AM118="")),"Gap needs owner and due date","OK")))))</f>
        <v>Awaiting response</v>
      </c>
    </row>
    <row r="119" customFormat="false" ht="124.6" hidden="false" customHeight="false" outlineLevel="0" collapsed="false">
      <c r="A119" s="28" t="s">
        <v>782</v>
      </c>
      <c r="B119" s="6" t="s">
        <v>770</v>
      </c>
      <c r="C119" s="6" t="s">
        <v>771</v>
      </c>
      <c r="D119" s="6" t="s">
        <v>156</v>
      </c>
      <c r="E119" s="29" t="s">
        <v>232</v>
      </c>
      <c r="F119" s="29" t="s">
        <v>33</v>
      </c>
      <c r="G119" s="29" t="s">
        <v>42</v>
      </c>
      <c r="H119" s="6" t="s">
        <v>783</v>
      </c>
      <c r="I119" s="6" t="s">
        <v>773</v>
      </c>
      <c r="J119" s="6" t="s">
        <v>774</v>
      </c>
      <c r="K119" s="6" t="s">
        <v>733</v>
      </c>
      <c r="L119" s="29" t="n">
        <v>16</v>
      </c>
      <c r="M119" s="6" t="s">
        <v>775</v>
      </c>
      <c r="N119" s="6" t="s">
        <v>776</v>
      </c>
      <c r="O119" s="6" t="s">
        <v>777</v>
      </c>
      <c r="P119" s="6" t="s">
        <v>778</v>
      </c>
      <c r="Q119" s="6"/>
      <c r="R119" s="6"/>
      <c r="S119" s="6"/>
      <c r="T119" s="6"/>
      <c r="U119" s="6"/>
      <c r="V119" s="6" t="s">
        <v>779</v>
      </c>
      <c r="W119" s="6"/>
      <c r="X119" s="6"/>
      <c r="Y119" s="6"/>
      <c r="Z119" s="6"/>
      <c r="AA119" s="6"/>
      <c r="AB119" s="6"/>
      <c r="AC119" s="6"/>
      <c r="AD119" s="30" t="s">
        <v>208</v>
      </c>
      <c r="AE119" s="30" t="s">
        <v>237</v>
      </c>
      <c r="AF119" s="31"/>
      <c r="AG119" s="32"/>
      <c r="AH119" s="31"/>
      <c r="AI119" s="32"/>
      <c r="AJ119" s="33" t="s">
        <v>127</v>
      </c>
      <c r="AK119" s="34"/>
      <c r="AL119" s="34"/>
      <c r="AM119" s="35"/>
      <c r="AN119" s="36" t="str">
        <f aca="false">IF(AD119&lt;&gt;"Y","Out of scope",IF(AF119="","Awaiting response",IF(AND(OR(AF119="Yes",AF119="Partial"),AG119=""),"No detail: treat as unanswered",IF(AND(AF119="Yes",AI119=""),"No evidence link",IF(AND(AJ119="Gap",OR(AL119="",AM119="")),"Gap needs owner and due date","OK")))))</f>
        <v>Awaiting response</v>
      </c>
    </row>
    <row r="120" customFormat="false" ht="124.6" hidden="false" customHeight="false" outlineLevel="0" collapsed="false">
      <c r="A120" s="28" t="s">
        <v>784</v>
      </c>
      <c r="B120" s="6" t="s">
        <v>785</v>
      </c>
      <c r="C120" s="6" t="s">
        <v>786</v>
      </c>
      <c r="D120" s="6" t="s">
        <v>157</v>
      </c>
      <c r="E120" s="29" t="s">
        <v>232</v>
      </c>
      <c r="F120" s="29" t="s">
        <v>31</v>
      </c>
      <c r="G120" s="29" t="s">
        <v>38</v>
      </c>
      <c r="H120" s="6" t="s">
        <v>787</v>
      </c>
      <c r="I120" s="6" t="s">
        <v>788</v>
      </c>
      <c r="J120" s="6" t="s">
        <v>789</v>
      </c>
      <c r="K120" s="6" t="s">
        <v>790</v>
      </c>
      <c r="L120" s="29" t="n">
        <v>25</v>
      </c>
      <c r="M120" s="6" t="s">
        <v>791</v>
      </c>
      <c r="N120" s="6" t="s">
        <v>792</v>
      </c>
      <c r="O120" s="6" t="s">
        <v>204</v>
      </c>
      <c r="P120" s="6" t="s">
        <v>793</v>
      </c>
      <c r="Q120" s="6"/>
      <c r="R120" s="6"/>
      <c r="S120" s="6"/>
      <c r="T120" s="6"/>
      <c r="U120" s="6"/>
      <c r="V120" s="6" t="s">
        <v>464</v>
      </c>
      <c r="W120" s="6"/>
      <c r="X120" s="6"/>
      <c r="Y120" s="6"/>
      <c r="Z120" s="6"/>
      <c r="AA120" s="6"/>
      <c r="AB120" s="6"/>
      <c r="AC120" s="6" t="s">
        <v>760</v>
      </c>
      <c r="AD120" s="30" t="s">
        <v>208</v>
      </c>
      <c r="AE120" s="30" t="s">
        <v>237</v>
      </c>
      <c r="AF120" s="31"/>
      <c r="AG120" s="32"/>
      <c r="AH120" s="31"/>
      <c r="AI120" s="32"/>
      <c r="AJ120" s="33" t="s">
        <v>127</v>
      </c>
      <c r="AK120" s="34"/>
      <c r="AL120" s="34"/>
      <c r="AM120" s="35"/>
      <c r="AN120" s="36" t="str">
        <f aca="false">IF(AD120&lt;&gt;"Y","Out of scope",IF(AF120="","Awaiting response",IF(AND(OR(AF120="Yes",AF120="Partial"),AG120=""),"No detail: treat as unanswered",IF(AND(AF120="Yes",AI120=""),"No evidence link",IF(AND(AJ120="Gap",OR(AL120="",AM120="")),"Gap needs owner and due date","OK")))))</f>
        <v>Awaiting response</v>
      </c>
    </row>
    <row r="121" customFormat="false" ht="124.6" hidden="false" customHeight="false" outlineLevel="0" collapsed="false">
      <c r="A121" s="28" t="s">
        <v>794</v>
      </c>
      <c r="B121" s="6" t="s">
        <v>785</v>
      </c>
      <c r="C121" s="6" t="s">
        <v>786</v>
      </c>
      <c r="D121" s="6" t="s">
        <v>157</v>
      </c>
      <c r="E121" s="29" t="s">
        <v>232</v>
      </c>
      <c r="F121" s="29" t="s">
        <v>31</v>
      </c>
      <c r="G121" s="29" t="s">
        <v>38</v>
      </c>
      <c r="H121" s="6" t="s">
        <v>795</v>
      </c>
      <c r="I121" s="6" t="s">
        <v>788</v>
      </c>
      <c r="J121" s="6" t="s">
        <v>789</v>
      </c>
      <c r="K121" s="6" t="s">
        <v>790</v>
      </c>
      <c r="L121" s="29" t="n">
        <v>25</v>
      </c>
      <c r="M121" s="6" t="s">
        <v>791</v>
      </c>
      <c r="N121" s="6" t="s">
        <v>792</v>
      </c>
      <c r="O121" s="6" t="s">
        <v>204</v>
      </c>
      <c r="P121" s="6" t="s">
        <v>793</v>
      </c>
      <c r="Q121" s="6"/>
      <c r="R121" s="6"/>
      <c r="S121" s="6"/>
      <c r="T121" s="6"/>
      <c r="U121" s="6"/>
      <c r="V121" s="6" t="s">
        <v>464</v>
      </c>
      <c r="W121" s="6"/>
      <c r="X121" s="6"/>
      <c r="Y121" s="6"/>
      <c r="Z121" s="6"/>
      <c r="AA121" s="6"/>
      <c r="AB121" s="6"/>
      <c r="AC121" s="6" t="s">
        <v>760</v>
      </c>
      <c r="AD121" s="30" t="s">
        <v>208</v>
      </c>
      <c r="AE121" s="30" t="s">
        <v>237</v>
      </c>
      <c r="AF121" s="31"/>
      <c r="AG121" s="32"/>
      <c r="AH121" s="31"/>
      <c r="AI121" s="32"/>
      <c r="AJ121" s="33" t="s">
        <v>127</v>
      </c>
      <c r="AK121" s="34"/>
      <c r="AL121" s="34"/>
      <c r="AM121" s="35"/>
      <c r="AN121" s="36" t="str">
        <f aca="false">IF(AD121&lt;&gt;"Y","Out of scope",IF(AF121="","Awaiting response",IF(AND(OR(AF121="Yes",AF121="Partial"),AG121=""),"No detail: treat as unanswered",IF(AND(AF121="Yes",AI121=""),"No evidence link",IF(AND(AJ121="Gap",OR(AL121="",AM121="")),"Gap needs owner and due date","OK")))))</f>
        <v>Awaiting response</v>
      </c>
    </row>
    <row r="122" customFormat="false" ht="124.6" hidden="false" customHeight="false" outlineLevel="0" collapsed="false">
      <c r="A122" s="28" t="s">
        <v>796</v>
      </c>
      <c r="B122" s="6" t="s">
        <v>785</v>
      </c>
      <c r="C122" s="6" t="s">
        <v>786</v>
      </c>
      <c r="D122" s="6" t="s">
        <v>157</v>
      </c>
      <c r="E122" s="29" t="s">
        <v>232</v>
      </c>
      <c r="F122" s="29" t="s">
        <v>31</v>
      </c>
      <c r="G122" s="29" t="s">
        <v>38</v>
      </c>
      <c r="H122" s="6" t="s">
        <v>797</v>
      </c>
      <c r="I122" s="6" t="s">
        <v>788</v>
      </c>
      <c r="J122" s="6" t="s">
        <v>789</v>
      </c>
      <c r="K122" s="6" t="s">
        <v>790</v>
      </c>
      <c r="L122" s="29" t="n">
        <v>25</v>
      </c>
      <c r="M122" s="6" t="s">
        <v>791</v>
      </c>
      <c r="N122" s="6" t="s">
        <v>792</v>
      </c>
      <c r="O122" s="6" t="s">
        <v>204</v>
      </c>
      <c r="P122" s="6" t="s">
        <v>793</v>
      </c>
      <c r="Q122" s="6"/>
      <c r="R122" s="6"/>
      <c r="S122" s="6"/>
      <c r="T122" s="6"/>
      <c r="U122" s="6"/>
      <c r="V122" s="6" t="s">
        <v>464</v>
      </c>
      <c r="W122" s="6"/>
      <c r="X122" s="6"/>
      <c r="Y122" s="6"/>
      <c r="Z122" s="6"/>
      <c r="AA122" s="6"/>
      <c r="AB122" s="6"/>
      <c r="AC122" s="6" t="s">
        <v>760</v>
      </c>
      <c r="AD122" s="30" t="s">
        <v>208</v>
      </c>
      <c r="AE122" s="30" t="s">
        <v>237</v>
      </c>
      <c r="AF122" s="31"/>
      <c r="AG122" s="32"/>
      <c r="AH122" s="31"/>
      <c r="AI122" s="32"/>
      <c r="AJ122" s="33" t="s">
        <v>127</v>
      </c>
      <c r="AK122" s="34"/>
      <c r="AL122" s="34"/>
      <c r="AM122" s="35"/>
      <c r="AN122" s="36" t="str">
        <f aca="false">IF(AD122&lt;&gt;"Y","Out of scope",IF(AF122="","Awaiting response",IF(AND(OR(AF122="Yes",AF122="Partial"),AG122=""),"No detail: treat as unanswered",IF(AND(AF122="Yes",AI122=""),"No evidence link",IF(AND(AJ122="Gap",OR(AL122="",AM122="")),"Gap needs owner and due date","OK")))))</f>
        <v>Awaiting response</v>
      </c>
    </row>
    <row r="123" customFormat="false" ht="124.6" hidden="false" customHeight="false" outlineLevel="0" collapsed="false">
      <c r="A123" s="28" t="s">
        <v>798</v>
      </c>
      <c r="B123" s="6" t="s">
        <v>785</v>
      </c>
      <c r="C123" s="6" t="s">
        <v>786</v>
      </c>
      <c r="D123" s="6" t="s">
        <v>157</v>
      </c>
      <c r="E123" s="29" t="s">
        <v>232</v>
      </c>
      <c r="F123" s="29" t="s">
        <v>31</v>
      </c>
      <c r="G123" s="29" t="s">
        <v>38</v>
      </c>
      <c r="H123" s="6" t="s">
        <v>799</v>
      </c>
      <c r="I123" s="6" t="s">
        <v>788</v>
      </c>
      <c r="J123" s="6" t="s">
        <v>789</v>
      </c>
      <c r="K123" s="6" t="s">
        <v>790</v>
      </c>
      <c r="L123" s="29" t="n">
        <v>25</v>
      </c>
      <c r="M123" s="6" t="s">
        <v>791</v>
      </c>
      <c r="N123" s="6" t="s">
        <v>792</v>
      </c>
      <c r="O123" s="6" t="s">
        <v>204</v>
      </c>
      <c r="P123" s="6" t="s">
        <v>793</v>
      </c>
      <c r="Q123" s="6"/>
      <c r="R123" s="6"/>
      <c r="S123" s="6"/>
      <c r="T123" s="6"/>
      <c r="U123" s="6"/>
      <c r="V123" s="6" t="s">
        <v>464</v>
      </c>
      <c r="W123" s="6"/>
      <c r="X123" s="6"/>
      <c r="Y123" s="6"/>
      <c r="Z123" s="6"/>
      <c r="AA123" s="6"/>
      <c r="AB123" s="6"/>
      <c r="AC123" s="6" t="s">
        <v>760</v>
      </c>
      <c r="AD123" s="30" t="s">
        <v>208</v>
      </c>
      <c r="AE123" s="30" t="s">
        <v>237</v>
      </c>
      <c r="AF123" s="31"/>
      <c r="AG123" s="32"/>
      <c r="AH123" s="31"/>
      <c r="AI123" s="32"/>
      <c r="AJ123" s="33" t="s">
        <v>127</v>
      </c>
      <c r="AK123" s="34"/>
      <c r="AL123" s="34"/>
      <c r="AM123" s="35"/>
      <c r="AN123" s="36" t="str">
        <f aca="false">IF(AD123&lt;&gt;"Y","Out of scope",IF(AF123="","Awaiting response",IF(AND(OR(AF123="Yes",AF123="Partial"),AG123=""),"No detail: treat as unanswered",IF(AND(AF123="Yes",AI123=""),"No evidence link",IF(AND(AJ123="Gap",OR(AL123="",AM123="")),"Gap needs owner and due date","OK")))))</f>
        <v>Awaiting response</v>
      </c>
    </row>
    <row r="124" customFormat="false" ht="124.6" hidden="false" customHeight="false" outlineLevel="0" collapsed="false">
      <c r="A124" s="28" t="s">
        <v>800</v>
      </c>
      <c r="B124" s="6" t="s">
        <v>785</v>
      </c>
      <c r="C124" s="6" t="s">
        <v>786</v>
      </c>
      <c r="D124" s="6" t="s">
        <v>157</v>
      </c>
      <c r="E124" s="29" t="s">
        <v>232</v>
      </c>
      <c r="F124" s="29" t="s">
        <v>31</v>
      </c>
      <c r="G124" s="29" t="s">
        <v>38</v>
      </c>
      <c r="H124" s="6" t="s">
        <v>801</v>
      </c>
      <c r="I124" s="6" t="s">
        <v>788</v>
      </c>
      <c r="J124" s="6" t="s">
        <v>789</v>
      </c>
      <c r="K124" s="6" t="s">
        <v>790</v>
      </c>
      <c r="L124" s="29" t="n">
        <v>25</v>
      </c>
      <c r="M124" s="6" t="s">
        <v>791</v>
      </c>
      <c r="N124" s="6" t="s">
        <v>792</v>
      </c>
      <c r="O124" s="6" t="s">
        <v>204</v>
      </c>
      <c r="P124" s="6" t="s">
        <v>793</v>
      </c>
      <c r="Q124" s="6"/>
      <c r="R124" s="6"/>
      <c r="S124" s="6"/>
      <c r="T124" s="6"/>
      <c r="U124" s="6"/>
      <c r="V124" s="6" t="s">
        <v>464</v>
      </c>
      <c r="W124" s="6"/>
      <c r="X124" s="6"/>
      <c r="Y124" s="6"/>
      <c r="Z124" s="6"/>
      <c r="AA124" s="6"/>
      <c r="AB124" s="6"/>
      <c r="AC124" s="6" t="s">
        <v>760</v>
      </c>
      <c r="AD124" s="30" t="s">
        <v>208</v>
      </c>
      <c r="AE124" s="30" t="s">
        <v>237</v>
      </c>
      <c r="AF124" s="31"/>
      <c r="AG124" s="32"/>
      <c r="AH124" s="31"/>
      <c r="AI124" s="32"/>
      <c r="AJ124" s="33" t="s">
        <v>127</v>
      </c>
      <c r="AK124" s="34"/>
      <c r="AL124" s="34"/>
      <c r="AM124" s="35"/>
      <c r="AN124" s="36" t="str">
        <f aca="false">IF(AD124&lt;&gt;"Y","Out of scope",IF(AF124="","Awaiting response",IF(AND(OR(AF124="Yes",AF124="Partial"),AG124=""),"No detail: treat as unanswered",IF(AND(AF124="Yes",AI124=""),"No evidence link",IF(AND(AJ124="Gap",OR(AL124="",AM124="")),"Gap needs owner and due date","OK")))))</f>
        <v>Awaiting response</v>
      </c>
    </row>
    <row r="125" customFormat="false" ht="124.6" hidden="false" customHeight="false" outlineLevel="0" collapsed="false">
      <c r="A125" s="28" t="s">
        <v>802</v>
      </c>
      <c r="B125" s="6" t="s">
        <v>785</v>
      </c>
      <c r="C125" s="6" t="s">
        <v>786</v>
      </c>
      <c r="D125" s="6" t="s">
        <v>157</v>
      </c>
      <c r="E125" s="29" t="s">
        <v>232</v>
      </c>
      <c r="F125" s="29" t="s">
        <v>31</v>
      </c>
      <c r="G125" s="29" t="s">
        <v>38</v>
      </c>
      <c r="H125" s="6" t="s">
        <v>803</v>
      </c>
      <c r="I125" s="6" t="s">
        <v>788</v>
      </c>
      <c r="J125" s="6" t="s">
        <v>789</v>
      </c>
      <c r="K125" s="6" t="s">
        <v>790</v>
      </c>
      <c r="L125" s="29" t="n">
        <v>25</v>
      </c>
      <c r="M125" s="6" t="s">
        <v>791</v>
      </c>
      <c r="N125" s="6" t="s">
        <v>792</v>
      </c>
      <c r="O125" s="6" t="s">
        <v>204</v>
      </c>
      <c r="P125" s="6" t="s">
        <v>793</v>
      </c>
      <c r="Q125" s="6"/>
      <c r="R125" s="6"/>
      <c r="S125" s="6"/>
      <c r="T125" s="6"/>
      <c r="U125" s="6"/>
      <c r="V125" s="6" t="s">
        <v>464</v>
      </c>
      <c r="W125" s="6"/>
      <c r="X125" s="6"/>
      <c r="Y125" s="6"/>
      <c r="Z125" s="6"/>
      <c r="AA125" s="6"/>
      <c r="AB125" s="6"/>
      <c r="AC125" s="6" t="s">
        <v>760</v>
      </c>
      <c r="AD125" s="30" t="s">
        <v>208</v>
      </c>
      <c r="AE125" s="30" t="s">
        <v>237</v>
      </c>
      <c r="AF125" s="31"/>
      <c r="AG125" s="32"/>
      <c r="AH125" s="31"/>
      <c r="AI125" s="32"/>
      <c r="AJ125" s="33" t="s">
        <v>127</v>
      </c>
      <c r="AK125" s="34"/>
      <c r="AL125" s="34"/>
      <c r="AM125" s="35"/>
      <c r="AN125" s="36" t="str">
        <f aca="false">IF(AD125&lt;&gt;"Y","Out of scope",IF(AF125="","Awaiting response",IF(AND(OR(AF125="Yes",AF125="Partial"),AG125=""),"No detail: treat as unanswered",IF(AND(AF125="Yes",AI125=""),"No evidence link",IF(AND(AJ125="Gap",OR(AL125="",AM125="")),"Gap needs owner and due date","OK")))))</f>
        <v>Awaiting response</v>
      </c>
    </row>
    <row r="126" customFormat="false" ht="124.6" hidden="false" customHeight="false" outlineLevel="0" collapsed="false">
      <c r="A126" s="28" t="s">
        <v>804</v>
      </c>
      <c r="B126" s="6" t="s">
        <v>805</v>
      </c>
      <c r="C126" s="6" t="s">
        <v>806</v>
      </c>
      <c r="D126" s="6" t="s">
        <v>157</v>
      </c>
      <c r="E126" s="29" t="s">
        <v>232</v>
      </c>
      <c r="F126" s="29" t="s">
        <v>33</v>
      </c>
      <c r="G126" s="29" t="s">
        <v>42</v>
      </c>
      <c r="H126" s="6" t="s">
        <v>807</v>
      </c>
      <c r="I126" s="6" t="s">
        <v>808</v>
      </c>
      <c r="J126" s="6" t="s">
        <v>809</v>
      </c>
      <c r="K126" s="6" t="s">
        <v>810</v>
      </c>
      <c r="L126" s="29" t="n">
        <v>27</v>
      </c>
      <c r="M126" s="6" t="s">
        <v>775</v>
      </c>
      <c r="N126" s="6" t="s">
        <v>811</v>
      </c>
      <c r="O126" s="6" t="s">
        <v>204</v>
      </c>
      <c r="P126" s="6" t="s">
        <v>812</v>
      </c>
      <c r="Q126" s="6" t="s">
        <v>328</v>
      </c>
      <c r="R126" s="6"/>
      <c r="S126" s="6"/>
      <c r="T126" s="6"/>
      <c r="U126" s="6"/>
      <c r="V126" s="6" t="s">
        <v>813</v>
      </c>
      <c r="W126" s="6"/>
      <c r="X126" s="6"/>
      <c r="Y126" s="6"/>
      <c r="Z126" s="6"/>
      <c r="AA126" s="6"/>
      <c r="AB126" s="6"/>
      <c r="AC126" s="6"/>
      <c r="AD126" s="30" t="s">
        <v>208</v>
      </c>
      <c r="AE126" s="30" t="s">
        <v>237</v>
      </c>
      <c r="AF126" s="31"/>
      <c r="AG126" s="32"/>
      <c r="AH126" s="31"/>
      <c r="AI126" s="32"/>
      <c r="AJ126" s="33" t="s">
        <v>127</v>
      </c>
      <c r="AK126" s="34"/>
      <c r="AL126" s="34"/>
      <c r="AM126" s="35"/>
      <c r="AN126" s="36" t="str">
        <f aca="false">IF(AD126&lt;&gt;"Y","Out of scope",IF(AF126="","Awaiting response",IF(AND(OR(AF126="Yes",AF126="Partial"),AG126=""),"No detail: treat as unanswered",IF(AND(AF126="Yes",AI126=""),"No evidence link",IF(AND(AJ126="Gap",OR(AL126="",AM126="")),"Gap needs owner and due date","OK")))))</f>
        <v>Awaiting response</v>
      </c>
    </row>
    <row r="127" customFormat="false" ht="124.6" hidden="false" customHeight="false" outlineLevel="0" collapsed="false">
      <c r="A127" s="28" t="s">
        <v>814</v>
      </c>
      <c r="B127" s="6" t="s">
        <v>805</v>
      </c>
      <c r="C127" s="6" t="s">
        <v>806</v>
      </c>
      <c r="D127" s="6" t="s">
        <v>157</v>
      </c>
      <c r="E127" s="29" t="s">
        <v>232</v>
      </c>
      <c r="F127" s="29" t="s">
        <v>33</v>
      </c>
      <c r="G127" s="29" t="s">
        <v>42</v>
      </c>
      <c r="H127" s="6" t="s">
        <v>815</v>
      </c>
      <c r="I127" s="6" t="s">
        <v>808</v>
      </c>
      <c r="J127" s="6" t="s">
        <v>809</v>
      </c>
      <c r="K127" s="6" t="s">
        <v>810</v>
      </c>
      <c r="L127" s="29" t="n">
        <v>27</v>
      </c>
      <c r="M127" s="6" t="s">
        <v>775</v>
      </c>
      <c r="N127" s="6" t="s">
        <v>811</v>
      </c>
      <c r="O127" s="6" t="s">
        <v>204</v>
      </c>
      <c r="P127" s="6" t="s">
        <v>812</v>
      </c>
      <c r="Q127" s="6" t="s">
        <v>328</v>
      </c>
      <c r="R127" s="6"/>
      <c r="S127" s="6"/>
      <c r="T127" s="6"/>
      <c r="U127" s="6"/>
      <c r="V127" s="6" t="s">
        <v>813</v>
      </c>
      <c r="W127" s="6"/>
      <c r="X127" s="6"/>
      <c r="Y127" s="6"/>
      <c r="Z127" s="6"/>
      <c r="AA127" s="6"/>
      <c r="AB127" s="6"/>
      <c r="AC127" s="6"/>
      <c r="AD127" s="30" t="s">
        <v>208</v>
      </c>
      <c r="AE127" s="30" t="s">
        <v>237</v>
      </c>
      <c r="AF127" s="31"/>
      <c r="AG127" s="32"/>
      <c r="AH127" s="31"/>
      <c r="AI127" s="32"/>
      <c r="AJ127" s="33" t="s">
        <v>127</v>
      </c>
      <c r="AK127" s="34"/>
      <c r="AL127" s="34"/>
      <c r="AM127" s="35"/>
      <c r="AN127" s="36" t="str">
        <f aca="false">IF(AD127&lt;&gt;"Y","Out of scope",IF(AF127="","Awaiting response",IF(AND(OR(AF127="Yes",AF127="Partial"),AG127=""),"No detail: treat as unanswered",IF(AND(AF127="Yes",AI127=""),"No evidence link",IF(AND(AJ127="Gap",OR(AL127="",AM127="")),"Gap needs owner and due date","OK")))))</f>
        <v>Awaiting response</v>
      </c>
    </row>
    <row r="128" customFormat="false" ht="124.6" hidden="false" customHeight="false" outlineLevel="0" collapsed="false">
      <c r="A128" s="28" t="s">
        <v>816</v>
      </c>
      <c r="B128" s="6" t="s">
        <v>805</v>
      </c>
      <c r="C128" s="6" t="s">
        <v>806</v>
      </c>
      <c r="D128" s="6" t="s">
        <v>157</v>
      </c>
      <c r="E128" s="29" t="s">
        <v>232</v>
      </c>
      <c r="F128" s="29" t="s">
        <v>33</v>
      </c>
      <c r="G128" s="29" t="s">
        <v>42</v>
      </c>
      <c r="H128" s="6" t="s">
        <v>817</v>
      </c>
      <c r="I128" s="6" t="s">
        <v>808</v>
      </c>
      <c r="J128" s="6" t="s">
        <v>809</v>
      </c>
      <c r="K128" s="6" t="s">
        <v>810</v>
      </c>
      <c r="L128" s="29" t="n">
        <v>27</v>
      </c>
      <c r="M128" s="6" t="s">
        <v>775</v>
      </c>
      <c r="N128" s="6" t="s">
        <v>811</v>
      </c>
      <c r="O128" s="6" t="s">
        <v>204</v>
      </c>
      <c r="P128" s="6" t="s">
        <v>812</v>
      </c>
      <c r="Q128" s="6" t="s">
        <v>328</v>
      </c>
      <c r="R128" s="6"/>
      <c r="S128" s="6"/>
      <c r="T128" s="6"/>
      <c r="U128" s="6"/>
      <c r="V128" s="6" t="s">
        <v>813</v>
      </c>
      <c r="W128" s="6"/>
      <c r="X128" s="6"/>
      <c r="Y128" s="6"/>
      <c r="Z128" s="6"/>
      <c r="AA128" s="6"/>
      <c r="AB128" s="6"/>
      <c r="AC128" s="6"/>
      <c r="AD128" s="30" t="s">
        <v>208</v>
      </c>
      <c r="AE128" s="30" t="s">
        <v>237</v>
      </c>
      <c r="AF128" s="31"/>
      <c r="AG128" s="32"/>
      <c r="AH128" s="31"/>
      <c r="AI128" s="32"/>
      <c r="AJ128" s="33" t="s">
        <v>127</v>
      </c>
      <c r="AK128" s="34"/>
      <c r="AL128" s="34"/>
      <c r="AM128" s="35"/>
      <c r="AN128" s="36" t="str">
        <f aca="false">IF(AD128&lt;&gt;"Y","Out of scope",IF(AF128="","Awaiting response",IF(AND(OR(AF128="Yes",AF128="Partial"),AG128=""),"No detail: treat as unanswered",IF(AND(AF128="Yes",AI128=""),"No evidence link",IF(AND(AJ128="Gap",OR(AL128="",AM128="")),"Gap needs owner and due date","OK")))))</f>
        <v>Awaiting response</v>
      </c>
    </row>
    <row r="129" customFormat="false" ht="124.6" hidden="false" customHeight="false" outlineLevel="0" collapsed="false">
      <c r="A129" s="28" t="s">
        <v>818</v>
      </c>
      <c r="B129" s="6" t="s">
        <v>805</v>
      </c>
      <c r="C129" s="6" t="s">
        <v>806</v>
      </c>
      <c r="D129" s="6" t="s">
        <v>157</v>
      </c>
      <c r="E129" s="29" t="s">
        <v>232</v>
      </c>
      <c r="F129" s="29" t="s">
        <v>33</v>
      </c>
      <c r="G129" s="29" t="s">
        <v>42</v>
      </c>
      <c r="H129" s="6" t="s">
        <v>819</v>
      </c>
      <c r="I129" s="6" t="s">
        <v>808</v>
      </c>
      <c r="J129" s="6" t="s">
        <v>809</v>
      </c>
      <c r="K129" s="6" t="s">
        <v>810</v>
      </c>
      <c r="L129" s="29" t="n">
        <v>27</v>
      </c>
      <c r="M129" s="6" t="s">
        <v>775</v>
      </c>
      <c r="N129" s="6" t="s">
        <v>811</v>
      </c>
      <c r="O129" s="6" t="s">
        <v>204</v>
      </c>
      <c r="P129" s="6" t="s">
        <v>812</v>
      </c>
      <c r="Q129" s="6" t="s">
        <v>328</v>
      </c>
      <c r="R129" s="6"/>
      <c r="S129" s="6"/>
      <c r="T129" s="6"/>
      <c r="U129" s="6"/>
      <c r="V129" s="6" t="s">
        <v>813</v>
      </c>
      <c r="W129" s="6"/>
      <c r="X129" s="6"/>
      <c r="Y129" s="6"/>
      <c r="Z129" s="6"/>
      <c r="AA129" s="6"/>
      <c r="AB129" s="6"/>
      <c r="AC129" s="6"/>
      <c r="AD129" s="30" t="s">
        <v>208</v>
      </c>
      <c r="AE129" s="30" t="s">
        <v>237</v>
      </c>
      <c r="AF129" s="31"/>
      <c r="AG129" s="32"/>
      <c r="AH129" s="31"/>
      <c r="AI129" s="32"/>
      <c r="AJ129" s="33" t="s">
        <v>127</v>
      </c>
      <c r="AK129" s="34"/>
      <c r="AL129" s="34"/>
      <c r="AM129" s="35"/>
      <c r="AN129" s="36" t="str">
        <f aca="false">IF(AD129&lt;&gt;"Y","Out of scope",IF(AF129="","Awaiting response",IF(AND(OR(AF129="Yes",AF129="Partial"),AG129=""),"No detail: treat as unanswered",IF(AND(AF129="Yes",AI129=""),"No evidence link",IF(AND(AJ129="Gap",OR(AL129="",AM129="")),"Gap needs owner and due date","OK")))))</f>
        <v>Awaiting response</v>
      </c>
    </row>
    <row r="130" customFormat="false" ht="135.8" hidden="false" customHeight="false" outlineLevel="0" collapsed="false">
      <c r="A130" s="28" t="s">
        <v>820</v>
      </c>
      <c r="B130" s="6" t="s">
        <v>821</v>
      </c>
      <c r="C130" s="6" t="s">
        <v>822</v>
      </c>
      <c r="D130" s="6" t="s">
        <v>149</v>
      </c>
      <c r="E130" s="29" t="s">
        <v>197</v>
      </c>
      <c r="F130" s="29" t="s">
        <v>31</v>
      </c>
      <c r="G130" s="29" t="s">
        <v>38</v>
      </c>
      <c r="H130" s="6" t="s">
        <v>823</v>
      </c>
      <c r="I130" s="6" t="s">
        <v>824</v>
      </c>
      <c r="J130" s="6" t="s">
        <v>825</v>
      </c>
      <c r="K130" s="6" t="s">
        <v>826</v>
      </c>
      <c r="L130" s="29" t="n">
        <v>8</v>
      </c>
      <c r="M130" s="6" t="s">
        <v>827</v>
      </c>
      <c r="N130" s="6" t="s">
        <v>828</v>
      </c>
      <c r="O130" s="6" t="s">
        <v>829</v>
      </c>
      <c r="P130" s="6" t="s">
        <v>830</v>
      </c>
      <c r="Q130" s="6" t="s">
        <v>831</v>
      </c>
      <c r="R130" s="6"/>
      <c r="S130" s="6"/>
      <c r="T130" s="6"/>
      <c r="U130" s="6"/>
      <c r="V130" s="6" t="s">
        <v>832</v>
      </c>
      <c r="W130" s="6"/>
      <c r="X130" s="6"/>
      <c r="Y130" s="6"/>
      <c r="Z130" s="6"/>
      <c r="AA130" s="6"/>
      <c r="AB130" s="6"/>
      <c r="AC130" s="6" t="s">
        <v>331</v>
      </c>
      <c r="AD130" s="30" t="s">
        <v>208</v>
      </c>
      <c r="AE130" s="30" t="s">
        <v>208</v>
      </c>
      <c r="AF130" s="31"/>
      <c r="AG130" s="32"/>
      <c r="AH130" s="31"/>
      <c r="AI130" s="32"/>
      <c r="AJ130" s="33" t="s">
        <v>127</v>
      </c>
      <c r="AK130" s="34"/>
      <c r="AL130" s="34"/>
      <c r="AM130" s="35"/>
      <c r="AN130" s="36" t="str">
        <f aca="false">IF(AD130&lt;&gt;"Y","Out of scope",IF(AF130="","Awaiting response",IF(AND(OR(AF130="Yes",AF130="Partial"),AG130=""),"No detail: treat as unanswered",IF(AND(AF130="Yes",AI130=""),"No evidence link",IF(AND(AJ130="Gap",OR(AL130="",AM130="")),"Gap needs owner and due date","OK")))))</f>
        <v>Awaiting response</v>
      </c>
    </row>
    <row r="131" customFormat="false" ht="135.8" hidden="false" customHeight="false" outlineLevel="0" collapsed="false">
      <c r="A131" s="28" t="s">
        <v>833</v>
      </c>
      <c r="B131" s="6" t="s">
        <v>821</v>
      </c>
      <c r="C131" s="6" t="s">
        <v>822</v>
      </c>
      <c r="D131" s="6" t="s">
        <v>149</v>
      </c>
      <c r="E131" s="29" t="s">
        <v>197</v>
      </c>
      <c r="F131" s="29" t="s">
        <v>31</v>
      </c>
      <c r="G131" s="29" t="s">
        <v>38</v>
      </c>
      <c r="H131" s="6" t="s">
        <v>834</v>
      </c>
      <c r="I131" s="6" t="s">
        <v>824</v>
      </c>
      <c r="J131" s="6" t="s">
        <v>825</v>
      </c>
      <c r="K131" s="6" t="s">
        <v>826</v>
      </c>
      <c r="L131" s="29" t="n">
        <v>8</v>
      </c>
      <c r="M131" s="6" t="s">
        <v>827</v>
      </c>
      <c r="N131" s="6" t="s">
        <v>828</v>
      </c>
      <c r="O131" s="6" t="s">
        <v>829</v>
      </c>
      <c r="P131" s="6" t="s">
        <v>830</v>
      </c>
      <c r="Q131" s="6" t="s">
        <v>831</v>
      </c>
      <c r="R131" s="6"/>
      <c r="S131" s="6"/>
      <c r="T131" s="6"/>
      <c r="U131" s="6"/>
      <c r="V131" s="6" t="s">
        <v>832</v>
      </c>
      <c r="W131" s="6"/>
      <c r="X131" s="6"/>
      <c r="Y131" s="6"/>
      <c r="Z131" s="6"/>
      <c r="AA131" s="6"/>
      <c r="AB131" s="6"/>
      <c r="AC131" s="6" t="s">
        <v>331</v>
      </c>
      <c r="AD131" s="30" t="s">
        <v>208</v>
      </c>
      <c r="AE131" s="30" t="s">
        <v>208</v>
      </c>
      <c r="AF131" s="31"/>
      <c r="AG131" s="32"/>
      <c r="AH131" s="31"/>
      <c r="AI131" s="32"/>
      <c r="AJ131" s="33" t="s">
        <v>127</v>
      </c>
      <c r="AK131" s="34"/>
      <c r="AL131" s="34"/>
      <c r="AM131" s="35"/>
      <c r="AN131" s="36" t="str">
        <f aca="false">IF(AD131&lt;&gt;"Y","Out of scope",IF(AF131="","Awaiting response",IF(AND(OR(AF131="Yes",AF131="Partial"),AG131=""),"No detail: treat as unanswered",IF(AND(AF131="Yes",AI131=""),"No evidence link",IF(AND(AJ131="Gap",OR(AL131="",AM131="")),"Gap needs owner and due date","OK")))))</f>
        <v>Awaiting response</v>
      </c>
    </row>
    <row r="132" customFormat="false" ht="135.8" hidden="false" customHeight="false" outlineLevel="0" collapsed="false">
      <c r="A132" s="28" t="s">
        <v>835</v>
      </c>
      <c r="B132" s="6" t="s">
        <v>821</v>
      </c>
      <c r="C132" s="6" t="s">
        <v>822</v>
      </c>
      <c r="D132" s="6" t="s">
        <v>149</v>
      </c>
      <c r="E132" s="29" t="s">
        <v>197</v>
      </c>
      <c r="F132" s="29" t="s">
        <v>31</v>
      </c>
      <c r="G132" s="29" t="s">
        <v>38</v>
      </c>
      <c r="H132" s="6" t="s">
        <v>836</v>
      </c>
      <c r="I132" s="6" t="s">
        <v>824</v>
      </c>
      <c r="J132" s="6" t="s">
        <v>825</v>
      </c>
      <c r="K132" s="6" t="s">
        <v>826</v>
      </c>
      <c r="L132" s="29" t="n">
        <v>8</v>
      </c>
      <c r="M132" s="6" t="s">
        <v>827</v>
      </c>
      <c r="N132" s="6" t="s">
        <v>828</v>
      </c>
      <c r="O132" s="6" t="s">
        <v>829</v>
      </c>
      <c r="P132" s="6" t="s">
        <v>830</v>
      </c>
      <c r="Q132" s="6" t="s">
        <v>831</v>
      </c>
      <c r="R132" s="6"/>
      <c r="S132" s="6"/>
      <c r="T132" s="6"/>
      <c r="U132" s="6"/>
      <c r="V132" s="6" t="s">
        <v>832</v>
      </c>
      <c r="W132" s="6"/>
      <c r="X132" s="6"/>
      <c r="Y132" s="6"/>
      <c r="Z132" s="6"/>
      <c r="AA132" s="6"/>
      <c r="AB132" s="6"/>
      <c r="AC132" s="6" t="s">
        <v>331</v>
      </c>
      <c r="AD132" s="30" t="s">
        <v>208</v>
      </c>
      <c r="AE132" s="30" t="s">
        <v>208</v>
      </c>
      <c r="AF132" s="31"/>
      <c r="AG132" s="32"/>
      <c r="AH132" s="31"/>
      <c r="AI132" s="32"/>
      <c r="AJ132" s="33" t="s">
        <v>127</v>
      </c>
      <c r="AK132" s="34"/>
      <c r="AL132" s="34"/>
      <c r="AM132" s="35"/>
      <c r="AN132" s="36" t="str">
        <f aca="false">IF(AD132&lt;&gt;"Y","Out of scope",IF(AF132="","Awaiting response",IF(AND(OR(AF132="Yes",AF132="Partial"),AG132=""),"No detail: treat as unanswered",IF(AND(AF132="Yes",AI132=""),"No evidence link",IF(AND(AJ132="Gap",OR(AL132="",AM132="")),"Gap needs owner and due date","OK")))))</f>
        <v>Awaiting response</v>
      </c>
    </row>
    <row r="133" customFormat="false" ht="135.8" hidden="false" customHeight="false" outlineLevel="0" collapsed="false">
      <c r="A133" s="28" t="s">
        <v>837</v>
      </c>
      <c r="B133" s="6" t="s">
        <v>821</v>
      </c>
      <c r="C133" s="6" t="s">
        <v>822</v>
      </c>
      <c r="D133" s="6" t="s">
        <v>149</v>
      </c>
      <c r="E133" s="29" t="s">
        <v>197</v>
      </c>
      <c r="F133" s="29" t="s">
        <v>31</v>
      </c>
      <c r="G133" s="29" t="s">
        <v>38</v>
      </c>
      <c r="H133" s="6" t="s">
        <v>838</v>
      </c>
      <c r="I133" s="6" t="s">
        <v>824</v>
      </c>
      <c r="J133" s="6" t="s">
        <v>825</v>
      </c>
      <c r="K133" s="6" t="s">
        <v>826</v>
      </c>
      <c r="L133" s="29" t="n">
        <v>8</v>
      </c>
      <c r="M133" s="6" t="s">
        <v>827</v>
      </c>
      <c r="N133" s="6" t="s">
        <v>828</v>
      </c>
      <c r="O133" s="6" t="s">
        <v>829</v>
      </c>
      <c r="P133" s="6" t="s">
        <v>830</v>
      </c>
      <c r="Q133" s="6" t="s">
        <v>831</v>
      </c>
      <c r="R133" s="6"/>
      <c r="S133" s="6"/>
      <c r="T133" s="6"/>
      <c r="U133" s="6"/>
      <c r="V133" s="6" t="s">
        <v>832</v>
      </c>
      <c r="W133" s="6"/>
      <c r="X133" s="6"/>
      <c r="Y133" s="6"/>
      <c r="Z133" s="6"/>
      <c r="AA133" s="6"/>
      <c r="AB133" s="6"/>
      <c r="AC133" s="6" t="s">
        <v>331</v>
      </c>
      <c r="AD133" s="30" t="s">
        <v>208</v>
      </c>
      <c r="AE133" s="30" t="s">
        <v>208</v>
      </c>
      <c r="AF133" s="31"/>
      <c r="AG133" s="32"/>
      <c r="AH133" s="31"/>
      <c r="AI133" s="32"/>
      <c r="AJ133" s="33" t="s">
        <v>127</v>
      </c>
      <c r="AK133" s="34"/>
      <c r="AL133" s="34"/>
      <c r="AM133" s="35"/>
      <c r="AN133" s="36" t="str">
        <f aca="false">IF(AD133&lt;&gt;"Y","Out of scope",IF(AF133="","Awaiting response",IF(AND(OR(AF133="Yes",AF133="Partial"),AG133=""),"No detail: treat as unanswered",IF(AND(AF133="Yes",AI133=""),"No evidence link",IF(AND(AJ133="Gap",OR(AL133="",AM133="")),"Gap needs owner and due date","OK")))))</f>
        <v>Awaiting response</v>
      </c>
    </row>
    <row r="134" customFormat="false" ht="135.8" hidden="false" customHeight="false" outlineLevel="0" collapsed="false">
      <c r="A134" s="28" t="s">
        <v>839</v>
      </c>
      <c r="B134" s="6" t="s">
        <v>821</v>
      </c>
      <c r="C134" s="6" t="s">
        <v>822</v>
      </c>
      <c r="D134" s="6" t="s">
        <v>149</v>
      </c>
      <c r="E134" s="29" t="s">
        <v>197</v>
      </c>
      <c r="F134" s="29" t="s">
        <v>31</v>
      </c>
      <c r="G134" s="29" t="s">
        <v>38</v>
      </c>
      <c r="H134" s="6" t="s">
        <v>840</v>
      </c>
      <c r="I134" s="6" t="s">
        <v>824</v>
      </c>
      <c r="J134" s="6" t="s">
        <v>825</v>
      </c>
      <c r="K134" s="6" t="s">
        <v>826</v>
      </c>
      <c r="L134" s="29" t="n">
        <v>8</v>
      </c>
      <c r="M134" s="6" t="s">
        <v>827</v>
      </c>
      <c r="N134" s="6" t="s">
        <v>828</v>
      </c>
      <c r="O134" s="6" t="s">
        <v>829</v>
      </c>
      <c r="P134" s="6" t="s">
        <v>830</v>
      </c>
      <c r="Q134" s="6" t="s">
        <v>831</v>
      </c>
      <c r="R134" s="6"/>
      <c r="S134" s="6"/>
      <c r="T134" s="6"/>
      <c r="U134" s="6"/>
      <c r="V134" s="6" t="s">
        <v>832</v>
      </c>
      <c r="W134" s="6"/>
      <c r="X134" s="6"/>
      <c r="Y134" s="6"/>
      <c r="Z134" s="6"/>
      <c r="AA134" s="6"/>
      <c r="AB134" s="6"/>
      <c r="AC134" s="6" t="s">
        <v>331</v>
      </c>
      <c r="AD134" s="30" t="s">
        <v>208</v>
      </c>
      <c r="AE134" s="30" t="s">
        <v>208</v>
      </c>
      <c r="AF134" s="31"/>
      <c r="AG134" s="32"/>
      <c r="AH134" s="31"/>
      <c r="AI134" s="32"/>
      <c r="AJ134" s="33" t="s">
        <v>127</v>
      </c>
      <c r="AK134" s="34"/>
      <c r="AL134" s="34"/>
      <c r="AM134" s="35"/>
      <c r="AN134" s="36" t="str">
        <f aca="false">IF(AD134&lt;&gt;"Y","Out of scope",IF(AF134="","Awaiting response",IF(AND(OR(AF134="Yes",AF134="Partial"),AG134=""),"No detail: treat as unanswered",IF(AND(AF134="Yes",AI134=""),"No evidence link",IF(AND(AJ134="Gap",OR(AL134="",AM134="")),"Gap needs owner and due date","OK")))))</f>
        <v>Awaiting response</v>
      </c>
    </row>
    <row r="135" customFormat="false" ht="180.55" hidden="false" customHeight="false" outlineLevel="0" collapsed="false">
      <c r="A135" s="28" t="s">
        <v>841</v>
      </c>
      <c r="B135" s="6" t="s">
        <v>842</v>
      </c>
      <c r="C135" s="6" t="s">
        <v>843</v>
      </c>
      <c r="D135" s="6" t="s">
        <v>149</v>
      </c>
      <c r="E135" s="29" t="s">
        <v>232</v>
      </c>
      <c r="F135" s="29" t="s">
        <v>31</v>
      </c>
      <c r="G135" s="29" t="s">
        <v>38</v>
      </c>
      <c r="H135" s="6" t="s">
        <v>844</v>
      </c>
      <c r="I135" s="6" t="s">
        <v>845</v>
      </c>
      <c r="J135" s="6" t="s">
        <v>846</v>
      </c>
      <c r="K135" s="6" t="s">
        <v>847</v>
      </c>
      <c r="L135" s="29" t="n">
        <v>38</v>
      </c>
      <c r="M135" s="6" t="s">
        <v>848</v>
      </c>
      <c r="N135" s="6" t="s">
        <v>606</v>
      </c>
      <c r="O135" s="6" t="s">
        <v>849</v>
      </c>
      <c r="P135" s="6" t="s">
        <v>850</v>
      </c>
      <c r="Q135" s="6"/>
      <c r="R135" s="6" t="s">
        <v>639</v>
      </c>
      <c r="S135" s="6"/>
      <c r="T135" s="6"/>
      <c r="U135" s="6"/>
      <c r="V135" s="6" t="s">
        <v>851</v>
      </c>
      <c r="W135" s="6"/>
      <c r="X135" s="6"/>
      <c r="Y135" s="6"/>
      <c r="Z135" s="6"/>
      <c r="AA135" s="6"/>
      <c r="AB135" s="6"/>
      <c r="AC135" s="6" t="s">
        <v>852</v>
      </c>
      <c r="AD135" s="30" t="s">
        <v>208</v>
      </c>
      <c r="AE135" s="30" t="s">
        <v>237</v>
      </c>
      <c r="AF135" s="31"/>
      <c r="AG135" s="32"/>
      <c r="AH135" s="31"/>
      <c r="AI135" s="32"/>
      <c r="AJ135" s="33" t="s">
        <v>127</v>
      </c>
      <c r="AK135" s="34"/>
      <c r="AL135" s="34"/>
      <c r="AM135" s="35"/>
      <c r="AN135" s="36" t="str">
        <f aca="false">IF(AD135&lt;&gt;"Y","Out of scope",IF(AF135="","Awaiting response",IF(AND(OR(AF135="Yes",AF135="Partial"),AG135=""),"No detail: treat as unanswered",IF(AND(AF135="Yes",AI135=""),"No evidence link",IF(AND(AJ135="Gap",OR(AL135="",AM135="")),"Gap needs owner and due date","OK")))))</f>
        <v>Awaiting response</v>
      </c>
    </row>
    <row r="136" customFormat="false" ht="180.55" hidden="false" customHeight="false" outlineLevel="0" collapsed="false">
      <c r="A136" s="28" t="s">
        <v>853</v>
      </c>
      <c r="B136" s="6" t="s">
        <v>842</v>
      </c>
      <c r="C136" s="6" t="s">
        <v>843</v>
      </c>
      <c r="D136" s="6" t="s">
        <v>149</v>
      </c>
      <c r="E136" s="29" t="s">
        <v>232</v>
      </c>
      <c r="F136" s="29" t="s">
        <v>31</v>
      </c>
      <c r="G136" s="29" t="s">
        <v>38</v>
      </c>
      <c r="H136" s="6" t="s">
        <v>854</v>
      </c>
      <c r="I136" s="6" t="s">
        <v>845</v>
      </c>
      <c r="J136" s="6" t="s">
        <v>846</v>
      </c>
      <c r="K136" s="6" t="s">
        <v>847</v>
      </c>
      <c r="L136" s="29" t="n">
        <v>38</v>
      </c>
      <c r="M136" s="6" t="s">
        <v>848</v>
      </c>
      <c r="N136" s="6" t="s">
        <v>606</v>
      </c>
      <c r="O136" s="6" t="s">
        <v>849</v>
      </c>
      <c r="P136" s="6" t="s">
        <v>850</v>
      </c>
      <c r="Q136" s="6"/>
      <c r="R136" s="6" t="s">
        <v>639</v>
      </c>
      <c r="S136" s="6"/>
      <c r="T136" s="6"/>
      <c r="U136" s="6"/>
      <c r="V136" s="6" t="s">
        <v>851</v>
      </c>
      <c r="W136" s="6"/>
      <c r="X136" s="6"/>
      <c r="Y136" s="6"/>
      <c r="Z136" s="6"/>
      <c r="AA136" s="6"/>
      <c r="AB136" s="6"/>
      <c r="AC136" s="6" t="s">
        <v>852</v>
      </c>
      <c r="AD136" s="30" t="s">
        <v>208</v>
      </c>
      <c r="AE136" s="30" t="s">
        <v>237</v>
      </c>
      <c r="AF136" s="31"/>
      <c r="AG136" s="32"/>
      <c r="AH136" s="31"/>
      <c r="AI136" s="32"/>
      <c r="AJ136" s="33" t="s">
        <v>127</v>
      </c>
      <c r="AK136" s="34"/>
      <c r="AL136" s="34"/>
      <c r="AM136" s="35"/>
      <c r="AN136" s="36" t="str">
        <f aca="false">IF(AD136&lt;&gt;"Y","Out of scope",IF(AF136="","Awaiting response",IF(AND(OR(AF136="Yes",AF136="Partial"),AG136=""),"No detail: treat as unanswered",IF(AND(AF136="Yes",AI136=""),"No evidence link",IF(AND(AJ136="Gap",OR(AL136="",AM136="")),"Gap needs owner and due date","OK")))))</f>
        <v>Awaiting response</v>
      </c>
    </row>
    <row r="137" customFormat="false" ht="180.55" hidden="false" customHeight="false" outlineLevel="0" collapsed="false">
      <c r="A137" s="28" t="s">
        <v>855</v>
      </c>
      <c r="B137" s="6" t="s">
        <v>842</v>
      </c>
      <c r="C137" s="6" t="s">
        <v>843</v>
      </c>
      <c r="D137" s="6" t="s">
        <v>149</v>
      </c>
      <c r="E137" s="29" t="s">
        <v>232</v>
      </c>
      <c r="F137" s="29" t="s">
        <v>31</v>
      </c>
      <c r="G137" s="29" t="s">
        <v>38</v>
      </c>
      <c r="H137" s="6" t="s">
        <v>856</v>
      </c>
      <c r="I137" s="6" t="s">
        <v>845</v>
      </c>
      <c r="J137" s="6" t="s">
        <v>846</v>
      </c>
      <c r="K137" s="6" t="s">
        <v>847</v>
      </c>
      <c r="L137" s="29" t="n">
        <v>38</v>
      </c>
      <c r="M137" s="6" t="s">
        <v>848</v>
      </c>
      <c r="N137" s="6" t="s">
        <v>606</v>
      </c>
      <c r="O137" s="6" t="s">
        <v>849</v>
      </c>
      <c r="P137" s="6" t="s">
        <v>850</v>
      </c>
      <c r="Q137" s="6"/>
      <c r="R137" s="6" t="s">
        <v>639</v>
      </c>
      <c r="S137" s="6"/>
      <c r="T137" s="6"/>
      <c r="U137" s="6"/>
      <c r="V137" s="6" t="s">
        <v>851</v>
      </c>
      <c r="W137" s="6"/>
      <c r="X137" s="6"/>
      <c r="Y137" s="6"/>
      <c r="Z137" s="6"/>
      <c r="AA137" s="6"/>
      <c r="AB137" s="6"/>
      <c r="AC137" s="6" t="s">
        <v>852</v>
      </c>
      <c r="AD137" s="30" t="s">
        <v>208</v>
      </c>
      <c r="AE137" s="30" t="s">
        <v>237</v>
      </c>
      <c r="AF137" s="31"/>
      <c r="AG137" s="32"/>
      <c r="AH137" s="31"/>
      <c r="AI137" s="32"/>
      <c r="AJ137" s="33" t="s">
        <v>127</v>
      </c>
      <c r="AK137" s="34"/>
      <c r="AL137" s="34"/>
      <c r="AM137" s="35"/>
      <c r="AN137" s="36" t="str">
        <f aca="false">IF(AD137&lt;&gt;"Y","Out of scope",IF(AF137="","Awaiting response",IF(AND(OR(AF137="Yes",AF137="Partial"),AG137=""),"No detail: treat as unanswered",IF(AND(AF137="Yes",AI137=""),"No evidence link",IF(AND(AJ137="Gap",OR(AL137="",AM137="")),"Gap needs owner and due date","OK")))))</f>
        <v>Awaiting response</v>
      </c>
    </row>
    <row r="138" customFormat="false" ht="180.55" hidden="false" customHeight="false" outlineLevel="0" collapsed="false">
      <c r="A138" s="28" t="s">
        <v>857</v>
      </c>
      <c r="B138" s="6" t="s">
        <v>842</v>
      </c>
      <c r="C138" s="6" t="s">
        <v>843</v>
      </c>
      <c r="D138" s="6" t="s">
        <v>149</v>
      </c>
      <c r="E138" s="29" t="s">
        <v>232</v>
      </c>
      <c r="F138" s="29" t="s">
        <v>31</v>
      </c>
      <c r="G138" s="29" t="s">
        <v>38</v>
      </c>
      <c r="H138" s="6" t="s">
        <v>858</v>
      </c>
      <c r="I138" s="6" t="s">
        <v>845</v>
      </c>
      <c r="J138" s="6" t="s">
        <v>846</v>
      </c>
      <c r="K138" s="6" t="s">
        <v>847</v>
      </c>
      <c r="L138" s="29" t="n">
        <v>38</v>
      </c>
      <c r="M138" s="6" t="s">
        <v>848</v>
      </c>
      <c r="N138" s="6" t="s">
        <v>606</v>
      </c>
      <c r="O138" s="6" t="s">
        <v>849</v>
      </c>
      <c r="P138" s="6" t="s">
        <v>850</v>
      </c>
      <c r="Q138" s="6"/>
      <c r="R138" s="6" t="s">
        <v>639</v>
      </c>
      <c r="S138" s="6"/>
      <c r="T138" s="6"/>
      <c r="U138" s="6"/>
      <c r="V138" s="6" t="s">
        <v>851</v>
      </c>
      <c r="W138" s="6"/>
      <c r="X138" s="6"/>
      <c r="Y138" s="6"/>
      <c r="Z138" s="6"/>
      <c r="AA138" s="6"/>
      <c r="AB138" s="6"/>
      <c r="AC138" s="6" t="s">
        <v>852</v>
      </c>
      <c r="AD138" s="30" t="s">
        <v>208</v>
      </c>
      <c r="AE138" s="30" t="s">
        <v>237</v>
      </c>
      <c r="AF138" s="31"/>
      <c r="AG138" s="32"/>
      <c r="AH138" s="31"/>
      <c r="AI138" s="32"/>
      <c r="AJ138" s="33" t="s">
        <v>127</v>
      </c>
      <c r="AK138" s="34"/>
      <c r="AL138" s="34"/>
      <c r="AM138" s="35"/>
      <c r="AN138" s="36" t="str">
        <f aca="false">IF(AD138&lt;&gt;"Y","Out of scope",IF(AF138="","Awaiting response",IF(AND(OR(AF138="Yes",AF138="Partial"),AG138=""),"No detail: treat as unanswered",IF(AND(AF138="Yes",AI138=""),"No evidence link",IF(AND(AJ138="Gap",OR(AL138="",AM138="")),"Gap needs owner and due date","OK")))))</f>
        <v>Awaiting response</v>
      </c>
    </row>
    <row r="139" customFormat="false" ht="180.55" hidden="false" customHeight="false" outlineLevel="0" collapsed="false">
      <c r="A139" s="28" t="s">
        <v>859</v>
      </c>
      <c r="B139" s="6" t="s">
        <v>842</v>
      </c>
      <c r="C139" s="6" t="s">
        <v>843</v>
      </c>
      <c r="D139" s="6" t="s">
        <v>149</v>
      </c>
      <c r="E139" s="29" t="s">
        <v>232</v>
      </c>
      <c r="F139" s="29" t="s">
        <v>31</v>
      </c>
      <c r="G139" s="29" t="s">
        <v>38</v>
      </c>
      <c r="H139" s="6" t="s">
        <v>860</v>
      </c>
      <c r="I139" s="6" t="s">
        <v>845</v>
      </c>
      <c r="J139" s="6" t="s">
        <v>846</v>
      </c>
      <c r="K139" s="6" t="s">
        <v>847</v>
      </c>
      <c r="L139" s="29" t="n">
        <v>38</v>
      </c>
      <c r="M139" s="6" t="s">
        <v>848</v>
      </c>
      <c r="N139" s="6" t="s">
        <v>606</v>
      </c>
      <c r="O139" s="6" t="s">
        <v>849</v>
      </c>
      <c r="P139" s="6" t="s">
        <v>850</v>
      </c>
      <c r="Q139" s="6"/>
      <c r="R139" s="6" t="s">
        <v>639</v>
      </c>
      <c r="S139" s="6"/>
      <c r="T139" s="6"/>
      <c r="U139" s="6"/>
      <c r="V139" s="6" t="s">
        <v>851</v>
      </c>
      <c r="W139" s="6"/>
      <c r="X139" s="6"/>
      <c r="Y139" s="6"/>
      <c r="Z139" s="6"/>
      <c r="AA139" s="6"/>
      <c r="AB139" s="6"/>
      <c r="AC139" s="6" t="s">
        <v>852</v>
      </c>
      <c r="AD139" s="30" t="s">
        <v>208</v>
      </c>
      <c r="AE139" s="30" t="s">
        <v>237</v>
      </c>
      <c r="AF139" s="31"/>
      <c r="AG139" s="32"/>
      <c r="AH139" s="31"/>
      <c r="AI139" s="32"/>
      <c r="AJ139" s="33" t="s">
        <v>127</v>
      </c>
      <c r="AK139" s="34"/>
      <c r="AL139" s="34"/>
      <c r="AM139" s="35"/>
      <c r="AN139" s="36" t="str">
        <f aca="false">IF(AD139&lt;&gt;"Y","Out of scope",IF(AF139="","Awaiting response",IF(AND(OR(AF139="Yes",AF139="Partial"),AG139=""),"No detail: treat as unanswered",IF(AND(AF139="Yes",AI139=""),"No evidence link",IF(AND(AJ139="Gap",OR(AL139="",AM139="")),"Gap needs owner and due date","OK")))))</f>
        <v>Awaiting response</v>
      </c>
    </row>
    <row r="140" customFormat="false" ht="180.55" hidden="false" customHeight="false" outlineLevel="0" collapsed="false">
      <c r="A140" s="28" t="s">
        <v>861</v>
      </c>
      <c r="B140" s="6" t="s">
        <v>842</v>
      </c>
      <c r="C140" s="6" t="s">
        <v>843</v>
      </c>
      <c r="D140" s="6" t="s">
        <v>149</v>
      </c>
      <c r="E140" s="29" t="s">
        <v>232</v>
      </c>
      <c r="F140" s="29" t="s">
        <v>31</v>
      </c>
      <c r="G140" s="29" t="s">
        <v>38</v>
      </c>
      <c r="H140" s="6" t="s">
        <v>862</v>
      </c>
      <c r="I140" s="6" t="s">
        <v>845</v>
      </c>
      <c r="J140" s="6" t="s">
        <v>846</v>
      </c>
      <c r="K140" s="6" t="s">
        <v>847</v>
      </c>
      <c r="L140" s="29" t="n">
        <v>38</v>
      </c>
      <c r="M140" s="6" t="s">
        <v>848</v>
      </c>
      <c r="N140" s="6" t="s">
        <v>606</v>
      </c>
      <c r="O140" s="6" t="s">
        <v>849</v>
      </c>
      <c r="P140" s="6" t="s">
        <v>850</v>
      </c>
      <c r="Q140" s="6"/>
      <c r="R140" s="6" t="s">
        <v>639</v>
      </c>
      <c r="S140" s="6"/>
      <c r="T140" s="6"/>
      <c r="U140" s="6"/>
      <c r="V140" s="6" t="s">
        <v>851</v>
      </c>
      <c r="W140" s="6"/>
      <c r="X140" s="6"/>
      <c r="Y140" s="6"/>
      <c r="Z140" s="6"/>
      <c r="AA140" s="6"/>
      <c r="AB140" s="6"/>
      <c r="AC140" s="6" t="s">
        <v>852</v>
      </c>
      <c r="AD140" s="30" t="s">
        <v>208</v>
      </c>
      <c r="AE140" s="30" t="s">
        <v>237</v>
      </c>
      <c r="AF140" s="31"/>
      <c r="AG140" s="32"/>
      <c r="AH140" s="31"/>
      <c r="AI140" s="32"/>
      <c r="AJ140" s="33" t="s">
        <v>127</v>
      </c>
      <c r="AK140" s="34"/>
      <c r="AL140" s="34"/>
      <c r="AM140" s="35"/>
      <c r="AN140" s="36" t="str">
        <f aca="false">IF(AD140&lt;&gt;"Y","Out of scope",IF(AF140="","Awaiting response",IF(AND(OR(AF140="Yes",AF140="Partial"),AG140=""),"No detail: treat as unanswered",IF(AND(AF140="Yes",AI140=""),"No evidence link",IF(AND(AJ140="Gap",OR(AL140="",AM140="")),"Gap needs owner and due date","OK")))))</f>
        <v>Awaiting response</v>
      </c>
    </row>
    <row r="141" customFormat="false" ht="180.55" hidden="false" customHeight="false" outlineLevel="0" collapsed="false">
      <c r="A141" s="28" t="s">
        <v>863</v>
      </c>
      <c r="B141" s="6" t="s">
        <v>842</v>
      </c>
      <c r="C141" s="6" t="s">
        <v>843</v>
      </c>
      <c r="D141" s="6" t="s">
        <v>149</v>
      </c>
      <c r="E141" s="29" t="s">
        <v>232</v>
      </c>
      <c r="F141" s="29" t="s">
        <v>31</v>
      </c>
      <c r="G141" s="29" t="s">
        <v>38</v>
      </c>
      <c r="H141" s="6" t="s">
        <v>864</v>
      </c>
      <c r="I141" s="6" t="s">
        <v>845</v>
      </c>
      <c r="J141" s="6" t="s">
        <v>846</v>
      </c>
      <c r="K141" s="6" t="s">
        <v>847</v>
      </c>
      <c r="L141" s="29" t="n">
        <v>38</v>
      </c>
      <c r="M141" s="6" t="s">
        <v>848</v>
      </c>
      <c r="N141" s="6" t="s">
        <v>606</v>
      </c>
      <c r="O141" s="6" t="s">
        <v>849</v>
      </c>
      <c r="P141" s="6" t="s">
        <v>850</v>
      </c>
      <c r="Q141" s="6"/>
      <c r="R141" s="6" t="s">
        <v>639</v>
      </c>
      <c r="S141" s="6"/>
      <c r="T141" s="6"/>
      <c r="U141" s="6"/>
      <c r="V141" s="6" t="s">
        <v>851</v>
      </c>
      <c r="W141" s="6"/>
      <c r="X141" s="6"/>
      <c r="Y141" s="6"/>
      <c r="Z141" s="6"/>
      <c r="AA141" s="6"/>
      <c r="AB141" s="6"/>
      <c r="AC141" s="6" t="s">
        <v>852</v>
      </c>
      <c r="AD141" s="30" t="s">
        <v>208</v>
      </c>
      <c r="AE141" s="30" t="s">
        <v>237</v>
      </c>
      <c r="AF141" s="31"/>
      <c r="AG141" s="32"/>
      <c r="AH141" s="31"/>
      <c r="AI141" s="32"/>
      <c r="AJ141" s="33" t="s">
        <v>127</v>
      </c>
      <c r="AK141" s="34"/>
      <c r="AL141" s="34"/>
      <c r="AM141" s="35"/>
      <c r="AN141" s="36" t="str">
        <f aca="false">IF(AD141&lt;&gt;"Y","Out of scope",IF(AF141="","Awaiting response",IF(AND(OR(AF141="Yes",AF141="Partial"),AG141=""),"No detail: treat as unanswered",IF(AND(AF141="Yes",AI141=""),"No evidence link",IF(AND(AJ141="Gap",OR(AL141="",AM141="")),"Gap needs owner and due date","OK")))))</f>
        <v>Awaiting response</v>
      </c>
    </row>
    <row r="142" customFormat="false" ht="180.55" hidden="false" customHeight="false" outlineLevel="0" collapsed="false">
      <c r="A142" s="28" t="s">
        <v>865</v>
      </c>
      <c r="B142" s="6" t="s">
        <v>842</v>
      </c>
      <c r="C142" s="6" t="s">
        <v>843</v>
      </c>
      <c r="D142" s="6" t="s">
        <v>149</v>
      </c>
      <c r="E142" s="29" t="s">
        <v>232</v>
      </c>
      <c r="F142" s="29" t="s">
        <v>31</v>
      </c>
      <c r="G142" s="29" t="s">
        <v>38</v>
      </c>
      <c r="H142" s="6" t="s">
        <v>866</v>
      </c>
      <c r="I142" s="6" t="s">
        <v>845</v>
      </c>
      <c r="J142" s="6" t="s">
        <v>846</v>
      </c>
      <c r="K142" s="6" t="s">
        <v>847</v>
      </c>
      <c r="L142" s="29" t="n">
        <v>38</v>
      </c>
      <c r="M142" s="6" t="s">
        <v>848</v>
      </c>
      <c r="N142" s="6" t="s">
        <v>606</v>
      </c>
      <c r="O142" s="6" t="s">
        <v>849</v>
      </c>
      <c r="P142" s="6" t="s">
        <v>850</v>
      </c>
      <c r="Q142" s="6"/>
      <c r="R142" s="6" t="s">
        <v>639</v>
      </c>
      <c r="S142" s="6"/>
      <c r="T142" s="6"/>
      <c r="U142" s="6"/>
      <c r="V142" s="6" t="s">
        <v>851</v>
      </c>
      <c r="W142" s="6"/>
      <c r="X142" s="6"/>
      <c r="Y142" s="6"/>
      <c r="Z142" s="6"/>
      <c r="AA142" s="6"/>
      <c r="AB142" s="6"/>
      <c r="AC142" s="6" t="s">
        <v>852</v>
      </c>
      <c r="AD142" s="30" t="s">
        <v>208</v>
      </c>
      <c r="AE142" s="30" t="s">
        <v>237</v>
      </c>
      <c r="AF142" s="31"/>
      <c r="AG142" s="32"/>
      <c r="AH142" s="31"/>
      <c r="AI142" s="32"/>
      <c r="AJ142" s="33" t="s">
        <v>127</v>
      </c>
      <c r="AK142" s="34"/>
      <c r="AL142" s="34"/>
      <c r="AM142" s="35"/>
      <c r="AN142" s="36" t="str">
        <f aca="false">IF(AD142&lt;&gt;"Y","Out of scope",IF(AF142="","Awaiting response",IF(AND(OR(AF142="Yes",AF142="Partial"),AG142=""),"No detail: treat as unanswered",IF(AND(AF142="Yes",AI142=""),"No evidence link",IF(AND(AJ142="Gap",OR(AL142="",AM142="")),"Gap needs owner and due date","OK")))))</f>
        <v>Awaiting response</v>
      </c>
    </row>
    <row r="143" customFormat="false" ht="169.4" hidden="false" customHeight="false" outlineLevel="0" collapsed="false">
      <c r="A143" s="28" t="s">
        <v>867</v>
      </c>
      <c r="B143" s="6" t="s">
        <v>868</v>
      </c>
      <c r="C143" s="6" t="s">
        <v>869</v>
      </c>
      <c r="D143" s="6" t="s">
        <v>152</v>
      </c>
      <c r="E143" s="29" t="s">
        <v>197</v>
      </c>
      <c r="F143" s="29" t="s">
        <v>35</v>
      </c>
      <c r="G143" s="29" t="s">
        <v>38</v>
      </c>
      <c r="H143" s="6" t="s">
        <v>870</v>
      </c>
      <c r="I143" s="6" t="s">
        <v>871</v>
      </c>
      <c r="J143" s="6" t="s">
        <v>872</v>
      </c>
      <c r="K143" s="6" t="s">
        <v>873</v>
      </c>
      <c r="L143" s="29" t="n">
        <v>40</v>
      </c>
      <c r="M143" s="6" t="s">
        <v>874</v>
      </c>
      <c r="N143" s="6" t="s">
        <v>875</v>
      </c>
      <c r="O143" s="6" t="s">
        <v>876</v>
      </c>
      <c r="P143" s="6" t="s">
        <v>877</v>
      </c>
      <c r="Q143" s="6" t="s">
        <v>878</v>
      </c>
      <c r="R143" s="6" t="s">
        <v>879</v>
      </c>
      <c r="S143" s="6" t="s">
        <v>308</v>
      </c>
      <c r="T143" s="6" t="s">
        <v>532</v>
      </c>
      <c r="U143" s="6" t="s">
        <v>880</v>
      </c>
      <c r="V143" s="6" t="s">
        <v>881</v>
      </c>
      <c r="W143" s="6" t="s">
        <v>882</v>
      </c>
      <c r="X143" s="6" t="s">
        <v>311</v>
      </c>
      <c r="Y143" s="6" t="s">
        <v>312</v>
      </c>
      <c r="Z143" s="6" t="s">
        <v>271</v>
      </c>
      <c r="AA143" s="6" t="s">
        <v>313</v>
      </c>
      <c r="AB143" s="6" t="s">
        <v>314</v>
      </c>
      <c r="AC143" s="6"/>
      <c r="AD143" s="30" t="s">
        <v>208</v>
      </c>
      <c r="AE143" s="30" t="s">
        <v>208</v>
      </c>
      <c r="AF143" s="31"/>
      <c r="AG143" s="32"/>
      <c r="AH143" s="31"/>
      <c r="AI143" s="32"/>
      <c r="AJ143" s="33" t="s">
        <v>127</v>
      </c>
      <c r="AK143" s="34"/>
      <c r="AL143" s="34"/>
      <c r="AM143" s="35"/>
      <c r="AN143" s="36" t="str">
        <f aca="false">IF(AD143&lt;&gt;"Y","Out of scope",IF(AF143="","Awaiting response",IF(AND(OR(AF143="Yes",AF143="Partial"),AG143=""),"No detail: treat as unanswered",IF(AND(AF143="Yes",AI143=""),"No evidence link",IF(AND(AJ143="Gap",OR(AL143="",AM143="")),"Gap needs owner and due date","OK")))))</f>
        <v>Awaiting response</v>
      </c>
    </row>
    <row r="144" customFormat="false" ht="169.4" hidden="false" customHeight="false" outlineLevel="0" collapsed="false">
      <c r="A144" s="28" t="s">
        <v>883</v>
      </c>
      <c r="B144" s="6" t="s">
        <v>868</v>
      </c>
      <c r="C144" s="6" t="s">
        <v>869</v>
      </c>
      <c r="D144" s="6" t="s">
        <v>152</v>
      </c>
      <c r="E144" s="29" t="s">
        <v>197</v>
      </c>
      <c r="F144" s="29" t="s">
        <v>35</v>
      </c>
      <c r="G144" s="29" t="s">
        <v>38</v>
      </c>
      <c r="H144" s="6" t="s">
        <v>884</v>
      </c>
      <c r="I144" s="6" t="s">
        <v>871</v>
      </c>
      <c r="J144" s="6" t="s">
        <v>872</v>
      </c>
      <c r="K144" s="6" t="s">
        <v>873</v>
      </c>
      <c r="L144" s="29" t="n">
        <v>40</v>
      </c>
      <c r="M144" s="6" t="s">
        <v>874</v>
      </c>
      <c r="N144" s="6" t="s">
        <v>875</v>
      </c>
      <c r="O144" s="6" t="s">
        <v>876</v>
      </c>
      <c r="P144" s="6" t="s">
        <v>877</v>
      </c>
      <c r="Q144" s="6" t="s">
        <v>878</v>
      </c>
      <c r="R144" s="6" t="s">
        <v>879</v>
      </c>
      <c r="S144" s="6" t="s">
        <v>308</v>
      </c>
      <c r="T144" s="6" t="s">
        <v>532</v>
      </c>
      <c r="U144" s="6" t="s">
        <v>880</v>
      </c>
      <c r="V144" s="6" t="s">
        <v>881</v>
      </c>
      <c r="W144" s="6" t="s">
        <v>882</v>
      </c>
      <c r="X144" s="6" t="s">
        <v>311</v>
      </c>
      <c r="Y144" s="6" t="s">
        <v>312</v>
      </c>
      <c r="Z144" s="6" t="s">
        <v>271</v>
      </c>
      <c r="AA144" s="6" t="s">
        <v>313</v>
      </c>
      <c r="AB144" s="6" t="s">
        <v>314</v>
      </c>
      <c r="AC144" s="6"/>
      <c r="AD144" s="30" t="s">
        <v>208</v>
      </c>
      <c r="AE144" s="30" t="s">
        <v>208</v>
      </c>
      <c r="AF144" s="31"/>
      <c r="AG144" s="32"/>
      <c r="AH144" s="31"/>
      <c r="AI144" s="32"/>
      <c r="AJ144" s="33" t="s">
        <v>127</v>
      </c>
      <c r="AK144" s="34"/>
      <c r="AL144" s="34"/>
      <c r="AM144" s="35"/>
      <c r="AN144" s="36" t="str">
        <f aca="false">IF(AD144&lt;&gt;"Y","Out of scope",IF(AF144="","Awaiting response",IF(AND(OR(AF144="Yes",AF144="Partial"),AG144=""),"No detail: treat as unanswered",IF(AND(AF144="Yes",AI144=""),"No evidence link",IF(AND(AJ144="Gap",OR(AL144="",AM144="")),"Gap needs owner and due date","OK")))))</f>
        <v>Awaiting response</v>
      </c>
    </row>
    <row r="145" customFormat="false" ht="169.4" hidden="false" customHeight="false" outlineLevel="0" collapsed="false">
      <c r="A145" s="28" t="s">
        <v>885</v>
      </c>
      <c r="B145" s="6" t="s">
        <v>868</v>
      </c>
      <c r="C145" s="6" t="s">
        <v>869</v>
      </c>
      <c r="D145" s="6" t="s">
        <v>152</v>
      </c>
      <c r="E145" s="29" t="s">
        <v>197</v>
      </c>
      <c r="F145" s="29" t="s">
        <v>35</v>
      </c>
      <c r="G145" s="29" t="s">
        <v>38</v>
      </c>
      <c r="H145" s="6" t="s">
        <v>886</v>
      </c>
      <c r="I145" s="6" t="s">
        <v>871</v>
      </c>
      <c r="J145" s="6" t="s">
        <v>872</v>
      </c>
      <c r="K145" s="6" t="s">
        <v>873</v>
      </c>
      <c r="L145" s="29" t="n">
        <v>40</v>
      </c>
      <c r="M145" s="6" t="s">
        <v>874</v>
      </c>
      <c r="N145" s="6" t="s">
        <v>875</v>
      </c>
      <c r="O145" s="6" t="s">
        <v>876</v>
      </c>
      <c r="P145" s="6" t="s">
        <v>877</v>
      </c>
      <c r="Q145" s="6" t="s">
        <v>878</v>
      </c>
      <c r="R145" s="6" t="s">
        <v>879</v>
      </c>
      <c r="S145" s="6" t="s">
        <v>308</v>
      </c>
      <c r="T145" s="6" t="s">
        <v>532</v>
      </c>
      <c r="U145" s="6" t="s">
        <v>880</v>
      </c>
      <c r="V145" s="6" t="s">
        <v>881</v>
      </c>
      <c r="W145" s="6" t="s">
        <v>882</v>
      </c>
      <c r="X145" s="6" t="s">
        <v>311</v>
      </c>
      <c r="Y145" s="6" t="s">
        <v>312</v>
      </c>
      <c r="Z145" s="6" t="s">
        <v>271</v>
      </c>
      <c r="AA145" s="6" t="s">
        <v>313</v>
      </c>
      <c r="AB145" s="6" t="s">
        <v>314</v>
      </c>
      <c r="AC145" s="6"/>
      <c r="AD145" s="30" t="s">
        <v>208</v>
      </c>
      <c r="AE145" s="30" t="s">
        <v>208</v>
      </c>
      <c r="AF145" s="31"/>
      <c r="AG145" s="32"/>
      <c r="AH145" s="31"/>
      <c r="AI145" s="32"/>
      <c r="AJ145" s="33" t="s">
        <v>127</v>
      </c>
      <c r="AK145" s="34"/>
      <c r="AL145" s="34"/>
      <c r="AM145" s="35"/>
      <c r="AN145" s="36" t="str">
        <f aca="false">IF(AD145&lt;&gt;"Y","Out of scope",IF(AF145="","Awaiting response",IF(AND(OR(AF145="Yes",AF145="Partial"),AG145=""),"No detail: treat as unanswered",IF(AND(AF145="Yes",AI145=""),"No evidence link",IF(AND(AJ145="Gap",OR(AL145="",AM145="")),"Gap needs owner and due date","OK")))))</f>
        <v>Awaiting response</v>
      </c>
    </row>
    <row r="146" customFormat="false" ht="169.4" hidden="false" customHeight="false" outlineLevel="0" collapsed="false">
      <c r="A146" s="28" t="s">
        <v>887</v>
      </c>
      <c r="B146" s="6" t="s">
        <v>868</v>
      </c>
      <c r="C146" s="6" t="s">
        <v>869</v>
      </c>
      <c r="D146" s="6" t="s">
        <v>152</v>
      </c>
      <c r="E146" s="29" t="s">
        <v>197</v>
      </c>
      <c r="F146" s="29" t="s">
        <v>35</v>
      </c>
      <c r="G146" s="29" t="s">
        <v>38</v>
      </c>
      <c r="H146" s="6" t="s">
        <v>888</v>
      </c>
      <c r="I146" s="6" t="s">
        <v>871</v>
      </c>
      <c r="J146" s="6" t="s">
        <v>872</v>
      </c>
      <c r="K146" s="6" t="s">
        <v>873</v>
      </c>
      <c r="L146" s="29" t="n">
        <v>40</v>
      </c>
      <c r="M146" s="6" t="s">
        <v>874</v>
      </c>
      <c r="N146" s="6" t="s">
        <v>875</v>
      </c>
      <c r="O146" s="6" t="s">
        <v>876</v>
      </c>
      <c r="P146" s="6" t="s">
        <v>877</v>
      </c>
      <c r="Q146" s="6" t="s">
        <v>878</v>
      </c>
      <c r="R146" s="6" t="s">
        <v>879</v>
      </c>
      <c r="S146" s="6" t="s">
        <v>308</v>
      </c>
      <c r="T146" s="6" t="s">
        <v>532</v>
      </c>
      <c r="U146" s="6" t="s">
        <v>880</v>
      </c>
      <c r="V146" s="6" t="s">
        <v>881</v>
      </c>
      <c r="W146" s="6" t="s">
        <v>882</v>
      </c>
      <c r="X146" s="6" t="s">
        <v>311</v>
      </c>
      <c r="Y146" s="6" t="s">
        <v>312</v>
      </c>
      <c r="Z146" s="6" t="s">
        <v>271</v>
      </c>
      <c r="AA146" s="6" t="s">
        <v>313</v>
      </c>
      <c r="AB146" s="6" t="s">
        <v>314</v>
      </c>
      <c r="AC146" s="6"/>
      <c r="AD146" s="30" t="s">
        <v>208</v>
      </c>
      <c r="AE146" s="30" t="s">
        <v>208</v>
      </c>
      <c r="AF146" s="31"/>
      <c r="AG146" s="32"/>
      <c r="AH146" s="31"/>
      <c r="AI146" s="32"/>
      <c r="AJ146" s="33" t="s">
        <v>127</v>
      </c>
      <c r="AK146" s="34"/>
      <c r="AL146" s="34"/>
      <c r="AM146" s="35"/>
      <c r="AN146" s="36" t="str">
        <f aca="false">IF(AD146&lt;&gt;"Y","Out of scope",IF(AF146="","Awaiting response",IF(AND(OR(AF146="Yes",AF146="Partial"),AG146=""),"No detail: treat as unanswered",IF(AND(AF146="Yes",AI146=""),"No evidence link",IF(AND(AJ146="Gap",OR(AL146="",AM146="")),"Gap needs owner and due date","OK")))))</f>
        <v>Awaiting response</v>
      </c>
    </row>
    <row r="147" customFormat="false" ht="35.05" hidden="false" customHeight="false" outlineLevel="0" collapsed="false">
      <c r="A147" s="28" t="s">
        <v>889</v>
      </c>
      <c r="B147" s="6" t="s">
        <v>890</v>
      </c>
      <c r="C147" s="6" t="s">
        <v>891</v>
      </c>
      <c r="D147" s="6" t="s">
        <v>150</v>
      </c>
      <c r="E147" s="29" t="s">
        <v>197</v>
      </c>
      <c r="F147" s="29" t="s">
        <v>33</v>
      </c>
      <c r="G147" s="29" t="s">
        <v>38</v>
      </c>
      <c r="H147" s="6" t="s">
        <v>892</v>
      </c>
      <c r="I147" s="6" t="s">
        <v>893</v>
      </c>
      <c r="J147" s="6" t="s">
        <v>894</v>
      </c>
      <c r="K147" s="6" t="s">
        <v>895</v>
      </c>
      <c r="L147" s="29" t="n">
        <v>30</v>
      </c>
      <c r="M147" s="6" t="s">
        <v>896</v>
      </c>
      <c r="N147" s="6" t="s">
        <v>811</v>
      </c>
      <c r="O147" s="6" t="s">
        <v>897</v>
      </c>
      <c r="P147" s="6" t="s">
        <v>898</v>
      </c>
      <c r="Q147" s="6"/>
      <c r="R147" s="6"/>
      <c r="S147" s="6"/>
      <c r="T147" s="6"/>
      <c r="U147" s="6"/>
      <c r="V147" s="6"/>
      <c r="W147" s="6"/>
      <c r="X147" s="6"/>
      <c r="Y147" s="6"/>
      <c r="Z147" s="6"/>
      <c r="AA147" s="6"/>
      <c r="AB147" s="6"/>
      <c r="AC147" s="6"/>
      <c r="AD147" s="30" t="s">
        <v>208</v>
      </c>
      <c r="AE147" s="30" t="s">
        <v>208</v>
      </c>
      <c r="AF147" s="31"/>
      <c r="AG147" s="32"/>
      <c r="AH147" s="31"/>
      <c r="AI147" s="32"/>
      <c r="AJ147" s="33" t="s">
        <v>127</v>
      </c>
      <c r="AK147" s="34"/>
      <c r="AL147" s="34"/>
      <c r="AM147" s="35"/>
      <c r="AN147" s="36" t="str">
        <f aca="false">IF(AD147&lt;&gt;"Y","Out of scope",IF(AF147="","Awaiting response",IF(AND(OR(AF147="Yes",AF147="Partial"),AG147=""),"No detail: treat as unanswered",IF(AND(AF147="Yes",AI147=""),"No evidence link",IF(AND(AJ147="Gap",OR(AL147="",AM147="")),"Gap needs owner and due date","OK")))))</f>
        <v>Awaiting response</v>
      </c>
    </row>
    <row r="148" customFormat="false" ht="35.05" hidden="false" customHeight="false" outlineLevel="0" collapsed="false">
      <c r="A148" s="28" t="s">
        <v>899</v>
      </c>
      <c r="B148" s="6" t="s">
        <v>890</v>
      </c>
      <c r="C148" s="6" t="s">
        <v>891</v>
      </c>
      <c r="D148" s="6" t="s">
        <v>150</v>
      </c>
      <c r="E148" s="29" t="s">
        <v>197</v>
      </c>
      <c r="F148" s="29" t="s">
        <v>33</v>
      </c>
      <c r="G148" s="29" t="s">
        <v>38</v>
      </c>
      <c r="H148" s="6" t="s">
        <v>900</v>
      </c>
      <c r="I148" s="6" t="s">
        <v>893</v>
      </c>
      <c r="J148" s="6" t="s">
        <v>894</v>
      </c>
      <c r="K148" s="6" t="s">
        <v>895</v>
      </c>
      <c r="L148" s="29" t="n">
        <v>30</v>
      </c>
      <c r="M148" s="6" t="s">
        <v>896</v>
      </c>
      <c r="N148" s="6" t="s">
        <v>811</v>
      </c>
      <c r="O148" s="6" t="s">
        <v>897</v>
      </c>
      <c r="P148" s="6" t="s">
        <v>898</v>
      </c>
      <c r="Q148" s="6"/>
      <c r="R148" s="6"/>
      <c r="S148" s="6"/>
      <c r="T148" s="6"/>
      <c r="U148" s="6"/>
      <c r="V148" s="6"/>
      <c r="W148" s="6"/>
      <c r="X148" s="6"/>
      <c r="Y148" s="6"/>
      <c r="Z148" s="6"/>
      <c r="AA148" s="6"/>
      <c r="AB148" s="6"/>
      <c r="AC148" s="6"/>
      <c r="AD148" s="30" t="s">
        <v>208</v>
      </c>
      <c r="AE148" s="30" t="s">
        <v>208</v>
      </c>
      <c r="AF148" s="31"/>
      <c r="AG148" s="32"/>
      <c r="AH148" s="31"/>
      <c r="AI148" s="32"/>
      <c r="AJ148" s="33" t="s">
        <v>127</v>
      </c>
      <c r="AK148" s="34"/>
      <c r="AL148" s="34"/>
      <c r="AM148" s="35"/>
      <c r="AN148" s="36" t="str">
        <f aca="false">IF(AD148&lt;&gt;"Y","Out of scope",IF(AF148="","Awaiting response",IF(AND(OR(AF148="Yes",AF148="Partial"),AG148=""),"No detail: treat as unanswered",IF(AND(AF148="Yes",AI148=""),"No evidence link",IF(AND(AJ148="Gap",OR(AL148="",AM148="")),"Gap needs owner and due date","OK")))))</f>
        <v>Awaiting response</v>
      </c>
    </row>
    <row r="149" customFormat="false" ht="35.05" hidden="false" customHeight="false" outlineLevel="0" collapsed="false">
      <c r="A149" s="28" t="s">
        <v>901</v>
      </c>
      <c r="B149" s="6" t="s">
        <v>890</v>
      </c>
      <c r="C149" s="6" t="s">
        <v>891</v>
      </c>
      <c r="D149" s="6" t="s">
        <v>150</v>
      </c>
      <c r="E149" s="29" t="s">
        <v>197</v>
      </c>
      <c r="F149" s="29" t="s">
        <v>33</v>
      </c>
      <c r="G149" s="29" t="s">
        <v>38</v>
      </c>
      <c r="H149" s="6" t="s">
        <v>902</v>
      </c>
      <c r="I149" s="6" t="s">
        <v>893</v>
      </c>
      <c r="J149" s="6" t="s">
        <v>894</v>
      </c>
      <c r="K149" s="6" t="s">
        <v>895</v>
      </c>
      <c r="L149" s="29" t="n">
        <v>30</v>
      </c>
      <c r="M149" s="6" t="s">
        <v>896</v>
      </c>
      <c r="N149" s="6" t="s">
        <v>811</v>
      </c>
      <c r="O149" s="6" t="s">
        <v>897</v>
      </c>
      <c r="P149" s="6" t="s">
        <v>898</v>
      </c>
      <c r="Q149" s="6"/>
      <c r="R149" s="6"/>
      <c r="S149" s="6"/>
      <c r="T149" s="6"/>
      <c r="U149" s="6"/>
      <c r="V149" s="6"/>
      <c r="W149" s="6"/>
      <c r="X149" s="6"/>
      <c r="Y149" s="6"/>
      <c r="Z149" s="6"/>
      <c r="AA149" s="6"/>
      <c r="AB149" s="6"/>
      <c r="AC149" s="6"/>
      <c r="AD149" s="30" t="s">
        <v>208</v>
      </c>
      <c r="AE149" s="30" t="s">
        <v>208</v>
      </c>
      <c r="AF149" s="31"/>
      <c r="AG149" s="32"/>
      <c r="AH149" s="31"/>
      <c r="AI149" s="32"/>
      <c r="AJ149" s="33" t="s">
        <v>127</v>
      </c>
      <c r="AK149" s="34"/>
      <c r="AL149" s="34"/>
      <c r="AM149" s="35"/>
      <c r="AN149" s="36" t="str">
        <f aca="false">IF(AD149&lt;&gt;"Y","Out of scope",IF(AF149="","Awaiting response",IF(AND(OR(AF149="Yes",AF149="Partial"),AG149=""),"No detail: treat as unanswered",IF(AND(AF149="Yes",AI149=""),"No evidence link",IF(AND(AJ149="Gap",OR(AL149="",AM149="")),"Gap needs owner and due date","OK")))))</f>
        <v>Awaiting response</v>
      </c>
    </row>
    <row r="150" customFormat="false" ht="91" hidden="false" customHeight="false" outlineLevel="0" collapsed="false">
      <c r="A150" s="28" t="s">
        <v>903</v>
      </c>
      <c r="B150" s="6" t="s">
        <v>904</v>
      </c>
      <c r="C150" s="6" t="s">
        <v>905</v>
      </c>
      <c r="D150" s="6" t="s">
        <v>154</v>
      </c>
      <c r="E150" s="29" t="s">
        <v>232</v>
      </c>
      <c r="F150" s="29" t="s">
        <v>29</v>
      </c>
      <c r="G150" s="29" t="s">
        <v>38</v>
      </c>
      <c r="H150" s="6" t="s">
        <v>906</v>
      </c>
      <c r="I150" s="6" t="s">
        <v>907</v>
      </c>
      <c r="J150" s="6" t="s">
        <v>908</v>
      </c>
      <c r="K150" s="6" t="s">
        <v>909</v>
      </c>
      <c r="L150" s="29" t="n">
        <v>10</v>
      </c>
      <c r="M150" s="6" t="s">
        <v>910</v>
      </c>
      <c r="N150" s="6" t="s">
        <v>911</v>
      </c>
      <c r="O150" s="6" t="s">
        <v>912</v>
      </c>
      <c r="P150" s="6" t="s">
        <v>913</v>
      </c>
      <c r="Q150" s="6" t="s">
        <v>914</v>
      </c>
      <c r="R150" s="6" t="s">
        <v>915</v>
      </c>
      <c r="S150" s="6" t="s">
        <v>916</v>
      </c>
      <c r="T150" s="6" t="s">
        <v>917</v>
      </c>
      <c r="U150" s="6" t="s">
        <v>918</v>
      </c>
      <c r="V150" s="6" t="s">
        <v>919</v>
      </c>
      <c r="W150" s="6" t="s">
        <v>644</v>
      </c>
      <c r="X150" s="6" t="s">
        <v>381</v>
      </c>
      <c r="Y150" s="6" t="s">
        <v>382</v>
      </c>
      <c r="Z150" s="6" t="s">
        <v>920</v>
      </c>
      <c r="AA150" s="6" t="s">
        <v>921</v>
      </c>
      <c r="AB150" s="6" t="s">
        <v>922</v>
      </c>
      <c r="AC150" s="6" t="s">
        <v>923</v>
      </c>
      <c r="AD150" s="30" t="s">
        <v>208</v>
      </c>
      <c r="AE150" s="30" t="s">
        <v>237</v>
      </c>
      <c r="AF150" s="31"/>
      <c r="AG150" s="32"/>
      <c r="AH150" s="31"/>
      <c r="AI150" s="32"/>
      <c r="AJ150" s="33" t="s">
        <v>127</v>
      </c>
      <c r="AK150" s="34"/>
      <c r="AL150" s="34"/>
      <c r="AM150" s="35"/>
      <c r="AN150" s="36" t="str">
        <f aca="false">IF(AD150&lt;&gt;"Y","Out of scope",IF(AF150="","Awaiting response",IF(AND(OR(AF150="Yes",AF150="Partial"),AG150=""),"No detail: treat as unanswered",IF(AND(AF150="Yes",AI150=""),"No evidence link",IF(AND(AJ150="Gap",OR(AL150="",AM150="")),"Gap needs owner and due date","OK")))))</f>
        <v>Awaiting response</v>
      </c>
    </row>
    <row r="151" customFormat="false" ht="91" hidden="false" customHeight="false" outlineLevel="0" collapsed="false">
      <c r="A151" s="28" t="s">
        <v>924</v>
      </c>
      <c r="B151" s="6" t="s">
        <v>904</v>
      </c>
      <c r="C151" s="6" t="s">
        <v>905</v>
      </c>
      <c r="D151" s="6" t="s">
        <v>154</v>
      </c>
      <c r="E151" s="29" t="s">
        <v>232</v>
      </c>
      <c r="F151" s="29" t="s">
        <v>29</v>
      </c>
      <c r="G151" s="29" t="s">
        <v>38</v>
      </c>
      <c r="H151" s="6" t="s">
        <v>925</v>
      </c>
      <c r="I151" s="6" t="s">
        <v>907</v>
      </c>
      <c r="J151" s="6" t="s">
        <v>908</v>
      </c>
      <c r="K151" s="6" t="s">
        <v>909</v>
      </c>
      <c r="L151" s="29" t="n">
        <v>10</v>
      </c>
      <c r="M151" s="6" t="s">
        <v>910</v>
      </c>
      <c r="N151" s="6" t="s">
        <v>911</v>
      </c>
      <c r="O151" s="6" t="s">
        <v>912</v>
      </c>
      <c r="P151" s="6" t="s">
        <v>913</v>
      </c>
      <c r="Q151" s="6" t="s">
        <v>914</v>
      </c>
      <c r="R151" s="6" t="s">
        <v>915</v>
      </c>
      <c r="S151" s="6" t="s">
        <v>916</v>
      </c>
      <c r="T151" s="6" t="s">
        <v>917</v>
      </c>
      <c r="U151" s="6" t="s">
        <v>918</v>
      </c>
      <c r="V151" s="6" t="s">
        <v>919</v>
      </c>
      <c r="W151" s="6" t="s">
        <v>644</v>
      </c>
      <c r="X151" s="6" t="s">
        <v>381</v>
      </c>
      <c r="Y151" s="6" t="s">
        <v>382</v>
      </c>
      <c r="Z151" s="6" t="s">
        <v>920</v>
      </c>
      <c r="AA151" s="6" t="s">
        <v>921</v>
      </c>
      <c r="AB151" s="6" t="s">
        <v>922</v>
      </c>
      <c r="AC151" s="6" t="s">
        <v>923</v>
      </c>
      <c r="AD151" s="30" t="s">
        <v>208</v>
      </c>
      <c r="AE151" s="30" t="s">
        <v>237</v>
      </c>
      <c r="AF151" s="31"/>
      <c r="AG151" s="32"/>
      <c r="AH151" s="31"/>
      <c r="AI151" s="32"/>
      <c r="AJ151" s="33" t="s">
        <v>127</v>
      </c>
      <c r="AK151" s="34"/>
      <c r="AL151" s="34"/>
      <c r="AM151" s="35"/>
      <c r="AN151" s="36" t="str">
        <f aca="false">IF(AD151&lt;&gt;"Y","Out of scope",IF(AF151="","Awaiting response",IF(AND(OR(AF151="Yes",AF151="Partial"),AG151=""),"No detail: treat as unanswered",IF(AND(AF151="Yes",AI151=""),"No evidence link",IF(AND(AJ151="Gap",OR(AL151="",AM151="")),"Gap needs owner and due date","OK")))))</f>
        <v>Awaiting response</v>
      </c>
    </row>
    <row r="152" customFormat="false" ht="91" hidden="false" customHeight="false" outlineLevel="0" collapsed="false">
      <c r="A152" s="28" t="s">
        <v>926</v>
      </c>
      <c r="B152" s="6" t="s">
        <v>904</v>
      </c>
      <c r="C152" s="6" t="s">
        <v>905</v>
      </c>
      <c r="D152" s="6" t="s">
        <v>154</v>
      </c>
      <c r="E152" s="29" t="s">
        <v>232</v>
      </c>
      <c r="F152" s="29" t="s">
        <v>29</v>
      </c>
      <c r="G152" s="29" t="s">
        <v>38</v>
      </c>
      <c r="H152" s="6" t="s">
        <v>927</v>
      </c>
      <c r="I152" s="6" t="s">
        <v>907</v>
      </c>
      <c r="J152" s="6" t="s">
        <v>908</v>
      </c>
      <c r="K152" s="6" t="s">
        <v>909</v>
      </c>
      <c r="L152" s="29" t="n">
        <v>10</v>
      </c>
      <c r="M152" s="6" t="s">
        <v>910</v>
      </c>
      <c r="N152" s="6" t="s">
        <v>911</v>
      </c>
      <c r="O152" s="6" t="s">
        <v>912</v>
      </c>
      <c r="P152" s="6" t="s">
        <v>913</v>
      </c>
      <c r="Q152" s="6" t="s">
        <v>914</v>
      </c>
      <c r="R152" s="6" t="s">
        <v>915</v>
      </c>
      <c r="S152" s="6" t="s">
        <v>916</v>
      </c>
      <c r="T152" s="6" t="s">
        <v>917</v>
      </c>
      <c r="U152" s="6" t="s">
        <v>918</v>
      </c>
      <c r="V152" s="6" t="s">
        <v>919</v>
      </c>
      <c r="W152" s="6" t="s">
        <v>644</v>
      </c>
      <c r="X152" s="6" t="s">
        <v>381</v>
      </c>
      <c r="Y152" s="6" t="s">
        <v>382</v>
      </c>
      <c r="Z152" s="6" t="s">
        <v>920</v>
      </c>
      <c r="AA152" s="6" t="s">
        <v>921</v>
      </c>
      <c r="AB152" s="6" t="s">
        <v>922</v>
      </c>
      <c r="AC152" s="6" t="s">
        <v>923</v>
      </c>
      <c r="AD152" s="30" t="s">
        <v>208</v>
      </c>
      <c r="AE152" s="30" t="s">
        <v>237</v>
      </c>
      <c r="AF152" s="31"/>
      <c r="AG152" s="32"/>
      <c r="AH152" s="31"/>
      <c r="AI152" s="32"/>
      <c r="AJ152" s="33" t="s">
        <v>127</v>
      </c>
      <c r="AK152" s="34"/>
      <c r="AL152" s="34"/>
      <c r="AM152" s="35"/>
      <c r="AN152" s="36" t="str">
        <f aca="false">IF(AD152&lt;&gt;"Y","Out of scope",IF(AF152="","Awaiting response",IF(AND(OR(AF152="Yes",AF152="Partial"),AG152=""),"No detail: treat as unanswered",IF(AND(AF152="Yes",AI152=""),"No evidence link",IF(AND(AJ152="Gap",OR(AL152="",AM152="")),"Gap needs owner and due date","OK")))))</f>
        <v>Awaiting response</v>
      </c>
    </row>
    <row r="153" customFormat="false" ht="91" hidden="false" customHeight="false" outlineLevel="0" collapsed="false">
      <c r="A153" s="28" t="s">
        <v>928</v>
      </c>
      <c r="B153" s="6" t="s">
        <v>904</v>
      </c>
      <c r="C153" s="6" t="s">
        <v>905</v>
      </c>
      <c r="D153" s="6" t="s">
        <v>154</v>
      </c>
      <c r="E153" s="29" t="s">
        <v>232</v>
      </c>
      <c r="F153" s="29" t="s">
        <v>29</v>
      </c>
      <c r="G153" s="29" t="s">
        <v>38</v>
      </c>
      <c r="H153" s="6" t="s">
        <v>929</v>
      </c>
      <c r="I153" s="6" t="s">
        <v>907</v>
      </c>
      <c r="J153" s="6" t="s">
        <v>908</v>
      </c>
      <c r="K153" s="6" t="s">
        <v>909</v>
      </c>
      <c r="L153" s="29" t="n">
        <v>10</v>
      </c>
      <c r="M153" s="6" t="s">
        <v>910</v>
      </c>
      <c r="N153" s="6" t="s">
        <v>911</v>
      </c>
      <c r="O153" s="6" t="s">
        <v>912</v>
      </c>
      <c r="P153" s="6" t="s">
        <v>913</v>
      </c>
      <c r="Q153" s="6" t="s">
        <v>914</v>
      </c>
      <c r="R153" s="6" t="s">
        <v>915</v>
      </c>
      <c r="S153" s="6" t="s">
        <v>916</v>
      </c>
      <c r="T153" s="6" t="s">
        <v>917</v>
      </c>
      <c r="U153" s="6" t="s">
        <v>918</v>
      </c>
      <c r="V153" s="6" t="s">
        <v>919</v>
      </c>
      <c r="W153" s="6" t="s">
        <v>644</v>
      </c>
      <c r="X153" s="6" t="s">
        <v>381</v>
      </c>
      <c r="Y153" s="6" t="s">
        <v>382</v>
      </c>
      <c r="Z153" s="6" t="s">
        <v>920</v>
      </c>
      <c r="AA153" s="6" t="s">
        <v>921</v>
      </c>
      <c r="AB153" s="6" t="s">
        <v>922</v>
      </c>
      <c r="AC153" s="6" t="s">
        <v>923</v>
      </c>
      <c r="AD153" s="30" t="s">
        <v>208</v>
      </c>
      <c r="AE153" s="30" t="s">
        <v>237</v>
      </c>
      <c r="AF153" s="31"/>
      <c r="AG153" s="32"/>
      <c r="AH153" s="31"/>
      <c r="AI153" s="32"/>
      <c r="AJ153" s="33" t="s">
        <v>127</v>
      </c>
      <c r="AK153" s="34"/>
      <c r="AL153" s="34"/>
      <c r="AM153" s="35"/>
      <c r="AN153" s="36" t="str">
        <f aca="false">IF(AD153&lt;&gt;"Y","Out of scope",IF(AF153="","Awaiting response",IF(AND(OR(AF153="Yes",AF153="Partial"),AG153=""),"No detail: treat as unanswered",IF(AND(AF153="Yes",AI153=""),"No evidence link",IF(AND(AJ153="Gap",OR(AL153="",AM153="")),"Gap needs owner and due date","OK")))))</f>
        <v>Awaiting response</v>
      </c>
    </row>
    <row r="154" customFormat="false" ht="91" hidden="false" customHeight="false" outlineLevel="0" collapsed="false">
      <c r="A154" s="28" t="s">
        <v>930</v>
      </c>
      <c r="B154" s="6" t="s">
        <v>904</v>
      </c>
      <c r="C154" s="6" t="s">
        <v>905</v>
      </c>
      <c r="D154" s="6" t="s">
        <v>154</v>
      </c>
      <c r="E154" s="29" t="s">
        <v>232</v>
      </c>
      <c r="F154" s="29" t="s">
        <v>29</v>
      </c>
      <c r="G154" s="29" t="s">
        <v>38</v>
      </c>
      <c r="H154" s="6" t="s">
        <v>931</v>
      </c>
      <c r="I154" s="6" t="s">
        <v>907</v>
      </c>
      <c r="J154" s="6" t="s">
        <v>908</v>
      </c>
      <c r="K154" s="6" t="s">
        <v>909</v>
      </c>
      <c r="L154" s="29" t="n">
        <v>10</v>
      </c>
      <c r="M154" s="6" t="s">
        <v>910</v>
      </c>
      <c r="N154" s="6" t="s">
        <v>911</v>
      </c>
      <c r="O154" s="6" t="s">
        <v>912</v>
      </c>
      <c r="P154" s="6" t="s">
        <v>913</v>
      </c>
      <c r="Q154" s="6" t="s">
        <v>914</v>
      </c>
      <c r="R154" s="6" t="s">
        <v>915</v>
      </c>
      <c r="S154" s="6" t="s">
        <v>916</v>
      </c>
      <c r="T154" s="6" t="s">
        <v>917</v>
      </c>
      <c r="U154" s="6" t="s">
        <v>918</v>
      </c>
      <c r="V154" s="6" t="s">
        <v>919</v>
      </c>
      <c r="W154" s="6" t="s">
        <v>644</v>
      </c>
      <c r="X154" s="6" t="s">
        <v>381</v>
      </c>
      <c r="Y154" s="6" t="s">
        <v>382</v>
      </c>
      <c r="Z154" s="6" t="s">
        <v>920</v>
      </c>
      <c r="AA154" s="6" t="s">
        <v>921</v>
      </c>
      <c r="AB154" s="6" t="s">
        <v>922</v>
      </c>
      <c r="AC154" s="6" t="s">
        <v>923</v>
      </c>
      <c r="AD154" s="30" t="s">
        <v>208</v>
      </c>
      <c r="AE154" s="30" t="s">
        <v>237</v>
      </c>
      <c r="AF154" s="31"/>
      <c r="AG154" s="32"/>
      <c r="AH154" s="31"/>
      <c r="AI154" s="32"/>
      <c r="AJ154" s="33" t="s">
        <v>127</v>
      </c>
      <c r="AK154" s="34"/>
      <c r="AL154" s="34"/>
      <c r="AM154" s="35"/>
      <c r="AN154" s="36" t="str">
        <f aca="false">IF(AD154&lt;&gt;"Y","Out of scope",IF(AF154="","Awaiting response",IF(AND(OR(AF154="Yes",AF154="Partial"),AG154=""),"No detail: treat as unanswered",IF(AND(AF154="Yes",AI154=""),"No evidence link",IF(AND(AJ154="Gap",OR(AL154="",AM154="")),"Gap needs owner and due date","OK")))))</f>
        <v>Awaiting response</v>
      </c>
    </row>
    <row r="155" customFormat="false" ht="79.85" hidden="false" customHeight="false" outlineLevel="0" collapsed="false">
      <c r="A155" s="28" t="s">
        <v>932</v>
      </c>
      <c r="B155" s="6" t="s">
        <v>933</v>
      </c>
      <c r="C155" s="6" t="s">
        <v>934</v>
      </c>
      <c r="D155" s="6" t="s">
        <v>149</v>
      </c>
      <c r="E155" s="29" t="s">
        <v>232</v>
      </c>
      <c r="F155" s="29" t="s">
        <v>35</v>
      </c>
      <c r="G155" s="29" t="s">
        <v>38</v>
      </c>
      <c r="H155" s="6" t="s">
        <v>935</v>
      </c>
      <c r="I155" s="6" t="s">
        <v>936</v>
      </c>
      <c r="J155" s="6" t="s">
        <v>937</v>
      </c>
      <c r="K155" s="6" t="s">
        <v>938</v>
      </c>
      <c r="L155" s="29" t="n">
        <v>17</v>
      </c>
      <c r="M155" s="6" t="s">
        <v>939</v>
      </c>
      <c r="N155" s="6" t="s">
        <v>940</v>
      </c>
      <c r="O155" s="6" t="s">
        <v>941</v>
      </c>
      <c r="P155" s="6" t="s">
        <v>942</v>
      </c>
      <c r="Q155" s="6" t="s">
        <v>943</v>
      </c>
      <c r="R155" s="6" t="s">
        <v>639</v>
      </c>
      <c r="S155" s="6" t="s">
        <v>944</v>
      </c>
      <c r="T155" s="6" t="s">
        <v>945</v>
      </c>
      <c r="U155" s="6" t="s">
        <v>946</v>
      </c>
      <c r="V155" s="6" t="s">
        <v>947</v>
      </c>
      <c r="W155" s="6"/>
      <c r="X155" s="6"/>
      <c r="Y155" s="6" t="s">
        <v>948</v>
      </c>
      <c r="Z155" s="6"/>
      <c r="AA155" s="6"/>
      <c r="AB155" s="6"/>
      <c r="AC155" s="6" t="s">
        <v>331</v>
      </c>
      <c r="AD155" s="30" t="s">
        <v>208</v>
      </c>
      <c r="AE155" s="30" t="s">
        <v>237</v>
      </c>
      <c r="AF155" s="31"/>
      <c r="AG155" s="32"/>
      <c r="AH155" s="31"/>
      <c r="AI155" s="32"/>
      <c r="AJ155" s="33" t="s">
        <v>127</v>
      </c>
      <c r="AK155" s="34"/>
      <c r="AL155" s="34"/>
      <c r="AM155" s="35"/>
      <c r="AN155" s="36" t="str">
        <f aca="false">IF(AD155&lt;&gt;"Y","Out of scope",IF(AF155="","Awaiting response",IF(AND(OR(AF155="Yes",AF155="Partial"),AG155=""),"No detail: treat as unanswered",IF(AND(AF155="Yes",AI155=""),"No evidence link",IF(AND(AJ155="Gap",OR(AL155="",AM155="")),"Gap needs owner and due date","OK")))))</f>
        <v>Awaiting response</v>
      </c>
    </row>
    <row r="156" customFormat="false" ht="79.85" hidden="false" customHeight="false" outlineLevel="0" collapsed="false">
      <c r="A156" s="28" t="s">
        <v>949</v>
      </c>
      <c r="B156" s="6" t="s">
        <v>933</v>
      </c>
      <c r="C156" s="6" t="s">
        <v>934</v>
      </c>
      <c r="D156" s="6" t="s">
        <v>149</v>
      </c>
      <c r="E156" s="29" t="s">
        <v>232</v>
      </c>
      <c r="F156" s="29" t="s">
        <v>35</v>
      </c>
      <c r="G156" s="29" t="s">
        <v>38</v>
      </c>
      <c r="H156" s="6" t="s">
        <v>950</v>
      </c>
      <c r="I156" s="6" t="s">
        <v>936</v>
      </c>
      <c r="J156" s="6" t="s">
        <v>937</v>
      </c>
      <c r="K156" s="6" t="s">
        <v>938</v>
      </c>
      <c r="L156" s="29" t="n">
        <v>17</v>
      </c>
      <c r="M156" s="6" t="s">
        <v>939</v>
      </c>
      <c r="N156" s="6" t="s">
        <v>940</v>
      </c>
      <c r="O156" s="6" t="s">
        <v>941</v>
      </c>
      <c r="P156" s="6" t="s">
        <v>942</v>
      </c>
      <c r="Q156" s="6" t="s">
        <v>943</v>
      </c>
      <c r="R156" s="6" t="s">
        <v>639</v>
      </c>
      <c r="S156" s="6" t="s">
        <v>944</v>
      </c>
      <c r="T156" s="6" t="s">
        <v>945</v>
      </c>
      <c r="U156" s="6" t="s">
        <v>946</v>
      </c>
      <c r="V156" s="6" t="s">
        <v>947</v>
      </c>
      <c r="W156" s="6"/>
      <c r="X156" s="6"/>
      <c r="Y156" s="6" t="s">
        <v>948</v>
      </c>
      <c r="Z156" s="6"/>
      <c r="AA156" s="6"/>
      <c r="AB156" s="6"/>
      <c r="AC156" s="6" t="s">
        <v>331</v>
      </c>
      <c r="AD156" s="30" t="s">
        <v>208</v>
      </c>
      <c r="AE156" s="30" t="s">
        <v>237</v>
      </c>
      <c r="AF156" s="31"/>
      <c r="AG156" s="32"/>
      <c r="AH156" s="31"/>
      <c r="AI156" s="32"/>
      <c r="AJ156" s="33" t="s">
        <v>127</v>
      </c>
      <c r="AK156" s="34"/>
      <c r="AL156" s="34"/>
      <c r="AM156" s="35"/>
      <c r="AN156" s="36" t="str">
        <f aca="false">IF(AD156&lt;&gt;"Y","Out of scope",IF(AF156="","Awaiting response",IF(AND(OR(AF156="Yes",AF156="Partial"),AG156=""),"No detail: treat as unanswered",IF(AND(AF156="Yes",AI156=""),"No evidence link",IF(AND(AJ156="Gap",OR(AL156="",AM156="")),"Gap needs owner and due date","OK")))))</f>
        <v>Awaiting response</v>
      </c>
    </row>
    <row r="157" customFormat="false" ht="79.85" hidden="false" customHeight="false" outlineLevel="0" collapsed="false">
      <c r="A157" s="28" t="s">
        <v>951</v>
      </c>
      <c r="B157" s="6" t="s">
        <v>933</v>
      </c>
      <c r="C157" s="6" t="s">
        <v>934</v>
      </c>
      <c r="D157" s="6" t="s">
        <v>149</v>
      </c>
      <c r="E157" s="29" t="s">
        <v>232</v>
      </c>
      <c r="F157" s="29" t="s">
        <v>35</v>
      </c>
      <c r="G157" s="29" t="s">
        <v>38</v>
      </c>
      <c r="H157" s="6" t="s">
        <v>952</v>
      </c>
      <c r="I157" s="6" t="s">
        <v>936</v>
      </c>
      <c r="J157" s="6" t="s">
        <v>937</v>
      </c>
      <c r="K157" s="6" t="s">
        <v>938</v>
      </c>
      <c r="L157" s="29" t="n">
        <v>17</v>
      </c>
      <c r="M157" s="6" t="s">
        <v>939</v>
      </c>
      <c r="N157" s="6" t="s">
        <v>940</v>
      </c>
      <c r="O157" s="6" t="s">
        <v>941</v>
      </c>
      <c r="P157" s="6" t="s">
        <v>942</v>
      </c>
      <c r="Q157" s="6" t="s">
        <v>943</v>
      </c>
      <c r="R157" s="6" t="s">
        <v>639</v>
      </c>
      <c r="S157" s="6" t="s">
        <v>944</v>
      </c>
      <c r="T157" s="6" t="s">
        <v>945</v>
      </c>
      <c r="U157" s="6" t="s">
        <v>946</v>
      </c>
      <c r="V157" s="6" t="s">
        <v>947</v>
      </c>
      <c r="W157" s="6"/>
      <c r="X157" s="6"/>
      <c r="Y157" s="6" t="s">
        <v>948</v>
      </c>
      <c r="Z157" s="6"/>
      <c r="AA157" s="6"/>
      <c r="AB157" s="6"/>
      <c r="AC157" s="6" t="s">
        <v>331</v>
      </c>
      <c r="AD157" s="30" t="s">
        <v>208</v>
      </c>
      <c r="AE157" s="30" t="s">
        <v>237</v>
      </c>
      <c r="AF157" s="31"/>
      <c r="AG157" s="32"/>
      <c r="AH157" s="31"/>
      <c r="AI157" s="32"/>
      <c r="AJ157" s="33" t="s">
        <v>127</v>
      </c>
      <c r="AK157" s="34"/>
      <c r="AL157" s="34"/>
      <c r="AM157" s="35"/>
      <c r="AN157" s="36" t="str">
        <f aca="false">IF(AD157&lt;&gt;"Y","Out of scope",IF(AF157="","Awaiting response",IF(AND(OR(AF157="Yes",AF157="Partial"),AG157=""),"No detail: treat as unanswered",IF(AND(AF157="Yes",AI157=""),"No evidence link",IF(AND(AJ157="Gap",OR(AL157="",AM157="")),"Gap needs owner and due date","OK")))))</f>
        <v>Awaiting response</v>
      </c>
    </row>
    <row r="158" customFormat="false" ht="79.85" hidden="false" customHeight="false" outlineLevel="0" collapsed="false">
      <c r="A158" s="28" t="s">
        <v>953</v>
      </c>
      <c r="B158" s="6" t="s">
        <v>933</v>
      </c>
      <c r="C158" s="6" t="s">
        <v>934</v>
      </c>
      <c r="D158" s="6" t="s">
        <v>149</v>
      </c>
      <c r="E158" s="29" t="s">
        <v>232</v>
      </c>
      <c r="F158" s="29" t="s">
        <v>35</v>
      </c>
      <c r="G158" s="29" t="s">
        <v>38</v>
      </c>
      <c r="H158" s="6" t="s">
        <v>954</v>
      </c>
      <c r="I158" s="6" t="s">
        <v>936</v>
      </c>
      <c r="J158" s="6" t="s">
        <v>937</v>
      </c>
      <c r="K158" s="6" t="s">
        <v>938</v>
      </c>
      <c r="L158" s="29" t="n">
        <v>17</v>
      </c>
      <c r="M158" s="6" t="s">
        <v>939</v>
      </c>
      <c r="N158" s="6" t="s">
        <v>940</v>
      </c>
      <c r="O158" s="6" t="s">
        <v>941</v>
      </c>
      <c r="P158" s="6" t="s">
        <v>942</v>
      </c>
      <c r="Q158" s="6" t="s">
        <v>943</v>
      </c>
      <c r="R158" s="6" t="s">
        <v>639</v>
      </c>
      <c r="S158" s="6" t="s">
        <v>944</v>
      </c>
      <c r="T158" s="6" t="s">
        <v>945</v>
      </c>
      <c r="U158" s="6" t="s">
        <v>946</v>
      </c>
      <c r="V158" s="6" t="s">
        <v>947</v>
      </c>
      <c r="W158" s="6"/>
      <c r="X158" s="6"/>
      <c r="Y158" s="6" t="s">
        <v>948</v>
      </c>
      <c r="Z158" s="6"/>
      <c r="AA158" s="6"/>
      <c r="AB158" s="6"/>
      <c r="AC158" s="6" t="s">
        <v>331</v>
      </c>
      <c r="AD158" s="30" t="s">
        <v>208</v>
      </c>
      <c r="AE158" s="30" t="s">
        <v>237</v>
      </c>
      <c r="AF158" s="31"/>
      <c r="AG158" s="32"/>
      <c r="AH158" s="31"/>
      <c r="AI158" s="32"/>
      <c r="AJ158" s="33" t="s">
        <v>127</v>
      </c>
      <c r="AK158" s="34"/>
      <c r="AL158" s="34"/>
      <c r="AM158" s="35"/>
      <c r="AN158" s="36" t="str">
        <f aca="false">IF(AD158&lt;&gt;"Y","Out of scope",IF(AF158="","Awaiting response",IF(AND(OR(AF158="Yes",AF158="Partial"),AG158=""),"No detail: treat as unanswered",IF(AND(AF158="Yes",AI158=""),"No evidence link",IF(AND(AJ158="Gap",OR(AL158="",AM158="")),"Gap needs owner and due date","OK")))))</f>
        <v>Awaiting response</v>
      </c>
    </row>
    <row r="159" customFormat="false" ht="46.25" hidden="false" customHeight="false" outlineLevel="0" collapsed="false">
      <c r="A159" s="28" t="s">
        <v>955</v>
      </c>
      <c r="B159" s="6" t="s">
        <v>956</v>
      </c>
      <c r="C159" s="6" t="s">
        <v>957</v>
      </c>
      <c r="D159" s="6" t="s">
        <v>148</v>
      </c>
      <c r="E159" s="29" t="s">
        <v>232</v>
      </c>
      <c r="F159" s="29" t="s">
        <v>31</v>
      </c>
      <c r="G159" s="29" t="s">
        <v>38</v>
      </c>
      <c r="H159" s="6" t="s">
        <v>958</v>
      </c>
      <c r="I159" s="6" t="s">
        <v>959</v>
      </c>
      <c r="J159" s="6" t="s">
        <v>960</v>
      </c>
      <c r="K159" s="6" t="s">
        <v>961</v>
      </c>
      <c r="L159" s="29" t="n">
        <v>9</v>
      </c>
      <c r="M159" s="6" t="s">
        <v>962</v>
      </c>
      <c r="N159" s="6" t="s">
        <v>963</v>
      </c>
      <c r="O159" s="6" t="s">
        <v>964</v>
      </c>
      <c r="P159" s="6" t="s">
        <v>965</v>
      </c>
      <c r="Q159" s="6" t="s">
        <v>966</v>
      </c>
      <c r="R159" s="6" t="s">
        <v>967</v>
      </c>
      <c r="S159" s="6" t="s">
        <v>968</v>
      </c>
      <c r="T159" s="6" t="s">
        <v>969</v>
      </c>
      <c r="U159" s="6" t="s">
        <v>970</v>
      </c>
      <c r="V159" s="6" t="s">
        <v>971</v>
      </c>
      <c r="W159" s="6" t="s">
        <v>972</v>
      </c>
      <c r="X159" s="6" t="s">
        <v>465</v>
      </c>
      <c r="Y159" s="6" t="s">
        <v>973</v>
      </c>
      <c r="Z159" s="6" t="s">
        <v>974</v>
      </c>
      <c r="AA159" s="6" t="s">
        <v>975</v>
      </c>
      <c r="AB159" s="6" t="s">
        <v>976</v>
      </c>
      <c r="AC159" s="6" t="s">
        <v>590</v>
      </c>
      <c r="AD159" s="30" t="s">
        <v>208</v>
      </c>
      <c r="AE159" s="30" t="s">
        <v>237</v>
      </c>
      <c r="AF159" s="31"/>
      <c r="AG159" s="32"/>
      <c r="AH159" s="31"/>
      <c r="AI159" s="32"/>
      <c r="AJ159" s="33" t="s">
        <v>127</v>
      </c>
      <c r="AK159" s="34"/>
      <c r="AL159" s="34"/>
      <c r="AM159" s="35"/>
      <c r="AN159" s="36" t="str">
        <f aca="false">IF(AD159&lt;&gt;"Y","Out of scope",IF(AF159="","Awaiting response",IF(AND(OR(AF159="Yes",AF159="Partial"),AG159=""),"No detail: treat as unanswered",IF(AND(AF159="Yes",AI159=""),"No evidence link",IF(AND(AJ159="Gap",OR(AL159="",AM159="")),"Gap needs owner and due date","OK")))))</f>
        <v>Awaiting response</v>
      </c>
    </row>
    <row r="160" customFormat="false" ht="46.25" hidden="false" customHeight="false" outlineLevel="0" collapsed="false">
      <c r="A160" s="28" t="s">
        <v>977</v>
      </c>
      <c r="B160" s="6" t="s">
        <v>956</v>
      </c>
      <c r="C160" s="6" t="s">
        <v>957</v>
      </c>
      <c r="D160" s="6" t="s">
        <v>148</v>
      </c>
      <c r="E160" s="29" t="s">
        <v>232</v>
      </c>
      <c r="F160" s="29" t="s">
        <v>31</v>
      </c>
      <c r="G160" s="29" t="s">
        <v>38</v>
      </c>
      <c r="H160" s="6" t="s">
        <v>978</v>
      </c>
      <c r="I160" s="6" t="s">
        <v>959</v>
      </c>
      <c r="J160" s="6" t="s">
        <v>960</v>
      </c>
      <c r="K160" s="6" t="s">
        <v>961</v>
      </c>
      <c r="L160" s="29" t="n">
        <v>9</v>
      </c>
      <c r="M160" s="6" t="s">
        <v>962</v>
      </c>
      <c r="N160" s="6" t="s">
        <v>963</v>
      </c>
      <c r="O160" s="6" t="s">
        <v>964</v>
      </c>
      <c r="P160" s="6" t="s">
        <v>965</v>
      </c>
      <c r="Q160" s="6" t="s">
        <v>966</v>
      </c>
      <c r="R160" s="6" t="s">
        <v>967</v>
      </c>
      <c r="S160" s="6" t="s">
        <v>968</v>
      </c>
      <c r="T160" s="6" t="s">
        <v>969</v>
      </c>
      <c r="U160" s="6" t="s">
        <v>970</v>
      </c>
      <c r="V160" s="6" t="s">
        <v>971</v>
      </c>
      <c r="W160" s="6" t="s">
        <v>972</v>
      </c>
      <c r="X160" s="6" t="s">
        <v>465</v>
      </c>
      <c r="Y160" s="6" t="s">
        <v>973</v>
      </c>
      <c r="Z160" s="6" t="s">
        <v>974</v>
      </c>
      <c r="AA160" s="6" t="s">
        <v>975</v>
      </c>
      <c r="AB160" s="6" t="s">
        <v>976</v>
      </c>
      <c r="AC160" s="6" t="s">
        <v>590</v>
      </c>
      <c r="AD160" s="30" t="s">
        <v>208</v>
      </c>
      <c r="AE160" s="30" t="s">
        <v>237</v>
      </c>
      <c r="AF160" s="31"/>
      <c r="AG160" s="32"/>
      <c r="AH160" s="31"/>
      <c r="AI160" s="32"/>
      <c r="AJ160" s="33" t="s">
        <v>127</v>
      </c>
      <c r="AK160" s="34"/>
      <c r="AL160" s="34"/>
      <c r="AM160" s="35"/>
      <c r="AN160" s="36" t="str">
        <f aca="false">IF(AD160&lt;&gt;"Y","Out of scope",IF(AF160="","Awaiting response",IF(AND(OR(AF160="Yes",AF160="Partial"),AG160=""),"No detail: treat as unanswered",IF(AND(AF160="Yes",AI160=""),"No evidence link",IF(AND(AJ160="Gap",OR(AL160="",AM160="")),"Gap needs owner and due date","OK")))))</f>
        <v>Awaiting response</v>
      </c>
    </row>
    <row r="161" customFormat="false" ht="46.25" hidden="false" customHeight="false" outlineLevel="0" collapsed="false">
      <c r="A161" s="28" t="s">
        <v>979</v>
      </c>
      <c r="B161" s="6" t="s">
        <v>956</v>
      </c>
      <c r="C161" s="6" t="s">
        <v>957</v>
      </c>
      <c r="D161" s="6" t="s">
        <v>148</v>
      </c>
      <c r="E161" s="29" t="s">
        <v>232</v>
      </c>
      <c r="F161" s="29" t="s">
        <v>31</v>
      </c>
      <c r="G161" s="29" t="s">
        <v>38</v>
      </c>
      <c r="H161" s="6" t="s">
        <v>980</v>
      </c>
      <c r="I161" s="6" t="s">
        <v>959</v>
      </c>
      <c r="J161" s="6" t="s">
        <v>960</v>
      </c>
      <c r="K161" s="6" t="s">
        <v>961</v>
      </c>
      <c r="L161" s="29" t="n">
        <v>9</v>
      </c>
      <c r="M161" s="6" t="s">
        <v>962</v>
      </c>
      <c r="N161" s="6" t="s">
        <v>963</v>
      </c>
      <c r="O161" s="6" t="s">
        <v>964</v>
      </c>
      <c r="P161" s="6" t="s">
        <v>965</v>
      </c>
      <c r="Q161" s="6" t="s">
        <v>966</v>
      </c>
      <c r="R161" s="6" t="s">
        <v>967</v>
      </c>
      <c r="S161" s="6" t="s">
        <v>968</v>
      </c>
      <c r="T161" s="6" t="s">
        <v>969</v>
      </c>
      <c r="U161" s="6" t="s">
        <v>970</v>
      </c>
      <c r="V161" s="6" t="s">
        <v>971</v>
      </c>
      <c r="W161" s="6" t="s">
        <v>972</v>
      </c>
      <c r="X161" s="6" t="s">
        <v>465</v>
      </c>
      <c r="Y161" s="6" t="s">
        <v>973</v>
      </c>
      <c r="Z161" s="6" t="s">
        <v>974</v>
      </c>
      <c r="AA161" s="6" t="s">
        <v>975</v>
      </c>
      <c r="AB161" s="6" t="s">
        <v>976</v>
      </c>
      <c r="AC161" s="6" t="s">
        <v>590</v>
      </c>
      <c r="AD161" s="30" t="s">
        <v>208</v>
      </c>
      <c r="AE161" s="30" t="s">
        <v>237</v>
      </c>
      <c r="AF161" s="31"/>
      <c r="AG161" s="32"/>
      <c r="AH161" s="31"/>
      <c r="AI161" s="32"/>
      <c r="AJ161" s="33" t="s">
        <v>127</v>
      </c>
      <c r="AK161" s="34"/>
      <c r="AL161" s="34"/>
      <c r="AM161" s="35"/>
      <c r="AN161" s="36" t="str">
        <f aca="false">IF(AD161&lt;&gt;"Y","Out of scope",IF(AF161="","Awaiting response",IF(AND(OR(AF161="Yes",AF161="Partial"),AG161=""),"No detail: treat as unanswered",IF(AND(AF161="Yes",AI161=""),"No evidence link",IF(AND(AJ161="Gap",OR(AL161="",AM161="")),"Gap needs owner and due date","OK")))))</f>
        <v>Awaiting response</v>
      </c>
    </row>
    <row r="162" customFormat="false" ht="46.25" hidden="false" customHeight="false" outlineLevel="0" collapsed="false">
      <c r="A162" s="28" t="s">
        <v>981</v>
      </c>
      <c r="B162" s="6" t="s">
        <v>956</v>
      </c>
      <c r="C162" s="6" t="s">
        <v>957</v>
      </c>
      <c r="D162" s="6" t="s">
        <v>148</v>
      </c>
      <c r="E162" s="29" t="s">
        <v>232</v>
      </c>
      <c r="F162" s="29" t="s">
        <v>31</v>
      </c>
      <c r="G162" s="29" t="s">
        <v>38</v>
      </c>
      <c r="H162" s="6" t="s">
        <v>982</v>
      </c>
      <c r="I162" s="6" t="s">
        <v>959</v>
      </c>
      <c r="J162" s="6" t="s">
        <v>960</v>
      </c>
      <c r="K162" s="6" t="s">
        <v>961</v>
      </c>
      <c r="L162" s="29" t="n">
        <v>9</v>
      </c>
      <c r="M162" s="6" t="s">
        <v>962</v>
      </c>
      <c r="N162" s="6" t="s">
        <v>963</v>
      </c>
      <c r="O162" s="6" t="s">
        <v>964</v>
      </c>
      <c r="P162" s="6" t="s">
        <v>965</v>
      </c>
      <c r="Q162" s="6" t="s">
        <v>966</v>
      </c>
      <c r="R162" s="6" t="s">
        <v>967</v>
      </c>
      <c r="S162" s="6" t="s">
        <v>968</v>
      </c>
      <c r="T162" s="6" t="s">
        <v>969</v>
      </c>
      <c r="U162" s="6" t="s">
        <v>970</v>
      </c>
      <c r="V162" s="6" t="s">
        <v>971</v>
      </c>
      <c r="W162" s="6" t="s">
        <v>972</v>
      </c>
      <c r="X162" s="6" t="s">
        <v>465</v>
      </c>
      <c r="Y162" s="6" t="s">
        <v>973</v>
      </c>
      <c r="Z162" s="6" t="s">
        <v>974</v>
      </c>
      <c r="AA162" s="6" t="s">
        <v>975</v>
      </c>
      <c r="AB162" s="6" t="s">
        <v>976</v>
      </c>
      <c r="AC162" s="6" t="s">
        <v>590</v>
      </c>
      <c r="AD162" s="30" t="s">
        <v>208</v>
      </c>
      <c r="AE162" s="30" t="s">
        <v>237</v>
      </c>
      <c r="AF162" s="31"/>
      <c r="AG162" s="32"/>
      <c r="AH162" s="31"/>
      <c r="AI162" s="32"/>
      <c r="AJ162" s="33" t="s">
        <v>127</v>
      </c>
      <c r="AK162" s="34"/>
      <c r="AL162" s="34"/>
      <c r="AM162" s="35"/>
      <c r="AN162" s="36" t="str">
        <f aca="false">IF(AD162&lt;&gt;"Y","Out of scope",IF(AF162="","Awaiting response",IF(AND(OR(AF162="Yes",AF162="Partial"),AG162=""),"No detail: treat as unanswered",IF(AND(AF162="Yes",AI162=""),"No evidence link",IF(AND(AJ162="Gap",OR(AL162="",AM162="")),"Gap needs owner and due date","OK")))))</f>
        <v>Awaiting response</v>
      </c>
    </row>
    <row r="163" customFormat="false" ht="91" hidden="false" customHeight="false" outlineLevel="0" collapsed="false">
      <c r="A163" s="28" t="s">
        <v>983</v>
      </c>
      <c r="B163" s="6" t="s">
        <v>984</v>
      </c>
      <c r="C163" s="6" t="s">
        <v>985</v>
      </c>
      <c r="D163" s="6" t="s">
        <v>157</v>
      </c>
      <c r="E163" s="29" t="s">
        <v>232</v>
      </c>
      <c r="F163" s="29" t="s">
        <v>33</v>
      </c>
      <c r="G163" s="29" t="s">
        <v>38</v>
      </c>
      <c r="H163" s="6" t="s">
        <v>986</v>
      </c>
      <c r="I163" s="6" t="s">
        <v>987</v>
      </c>
      <c r="J163" s="6" t="s">
        <v>988</v>
      </c>
      <c r="K163" s="6" t="s">
        <v>989</v>
      </c>
      <c r="L163" s="29" t="n">
        <v>14</v>
      </c>
      <c r="M163" s="6" t="s">
        <v>990</v>
      </c>
      <c r="N163" s="6" t="s">
        <v>991</v>
      </c>
      <c r="O163" s="6" t="s">
        <v>992</v>
      </c>
      <c r="P163" s="6" t="s">
        <v>993</v>
      </c>
      <c r="Q163" s="6"/>
      <c r="R163" s="6"/>
      <c r="S163" s="6"/>
      <c r="T163" s="6"/>
      <c r="U163" s="6"/>
      <c r="V163" s="6" t="s">
        <v>994</v>
      </c>
      <c r="W163" s="6"/>
      <c r="X163" s="6"/>
      <c r="Y163" s="6"/>
      <c r="Z163" s="6"/>
      <c r="AA163" s="6"/>
      <c r="AB163" s="6"/>
      <c r="AC163" s="6" t="s">
        <v>331</v>
      </c>
      <c r="AD163" s="30" t="s">
        <v>208</v>
      </c>
      <c r="AE163" s="30" t="s">
        <v>237</v>
      </c>
      <c r="AF163" s="31"/>
      <c r="AG163" s="32"/>
      <c r="AH163" s="31"/>
      <c r="AI163" s="32"/>
      <c r="AJ163" s="33" t="s">
        <v>127</v>
      </c>
      <c r="AK163" s="34"/>
      <c r="AL163" s="34"/>
      <c r="AM163" s="35"/>
      <c r="AN163" s="36" t="str">
        <f aca="false">IF(AD163&lt;&gt;"Y","Out of scope",IF(AF163="","Awaiting response",IF(AND(OR(AF163="Yes",AF163="Partial"),AG163=""),"No detail: treat as unanswered",IF(AND(AF163="Yes",AI163=""),"No evidence link",IF(AND(AJ163="Gap",OR(AL163="",AM163="")),"Gap needs owner and due date","OK")))))</f>
        <v>Awaiting response</v>
      </c>
    </row>
    <row r="164" customFormat="false" ht="91" hidden="false" customHeight="false" outlineLevel="0" collapsed="false">
      <c r="A164" s="28" t="s">
        <v>995</v>
      </c>
      <c r="B164" s="6" t="s">
        <v>984</v>
      </c>
      <c r="C164" s="6" t="s">
        <v>985</v>
      </c>
      <c r="D164" s="6" t="s">
        <v>157</v>
      </c>
      <c r="E164" s="29" t="s">
        <v>232</v>
      </c>
      <c r="F164" s="29" t="s">
        <v>33</v>
      </c>
      <c r="G164" s="29" t="s">
        <v>38</v>
      </c>
      <c r="H164" s="6" t="s">
        <v>996</v>
      </c>
      <c r="I164" s="6" t="s">
        <v>987</v>
      </c>
      <c r="J164" s="6" t="s">
        <v>988</v>
      </c>
      <c r="K164" s="6" t="s">
        <v>989</v>
      </c>
      <c r="L164" s="29" t="n">
        <v>14</v>
      </c>
      <c r="M164" s="6" t="s">
        <v>990</v>
      </c>
      <c r="N164" s="6" t="s">
        <v>991</v>
      </c>
      <c r="O164" s="6" t="s">
        <v>992</v>
      </c>
      <c r="P164" s="6" t="s">
        <v>993</v>
      </c>
      <c r="Q164" s="6"/>
      <c r="R164" s="6"/>
      <c r="S164" s="6"/>
      <c r="T164" s="6"/>
      <c r="U164" s="6"/>
      <c r="V164" s="6" t="s">
        <v>994</v>
      </c>
      <c r="W164" s="6"/>
      <c r="X164" s="6"/>
      <c r="Y164" s="6"/>
      <c r="Z164" s="6"/>
      <c r="AA164" s="6"/>
      <c r="AB164" s="6"/>
      <c r="AC164" s="6" t="s">
        <v>331</v>
      </c>
      <c r="AD164" s="30" t="s">
        <v>208</v>
      </c>
      <c r="AE164" s="30" t="s">
        <v>237</v>
      </c>
      <c r="AF164" s="31"/>
      <c r="AG164" s="32"/>
      <c r="AH164" s="31"/>
      <c r="AI164" s="32"/>
      <c r="AJ164" s="33" t="s">
        <v>127</v>
      </c>
      <c r="AK164" s="34"/>
      <c r="AL164" s="34"/>
      <c r="AM164" s="35"/>
      <c r="AN164" s="36" t="str">
        <f aca="false">IF(AD164&lt;&gt;"Y","Out of scope",IF(AF164="","Awaiting response",IF(AND(OR(AF164="Yes",AF164="Partial"),AG164=""),"No detail: treat as unanswered",IF(AND(AF164="Yes",AI164=""),"No evidence link",IF(AND(AJ164="Gap",OR(AL164="",AM164="")),"Gap needs owner and due date","OK")))))</f>
        <v>Awaiting response</v>
      </c>
    </row>
    <row r="165" customFormat="false" ht="91" hidden="false" customHeight="false" outlineLevel="0" collapsed="false">
      <c r="A165" s="28" t="s">
        <v>997</v>
      </c>
      <c r="B165" s="6" t="s">
        <v>984</v>
      </c>
      <c r="C165" s="6" t="s">
        <v>985</v>
      </c>
      <c r="D165" s="6" t="s">
        <v>157</v>
      </c>
      <c r="E165" s="29" t="s">
        <v>232</v>
      </c>
      <c r="F165" s="29" t="s">
        <v>33</v>
      </c>
      <c r="G165" s="29" t="s">
        <v>38</v>
      </c>
      <c r="H165" s="6" t="s">
        <v>998</v>
      </c>
      <c r="I165" s="6" t="s">
        <v>987</v>
      </c>
      <c r="J165" s="6" t="s">
        <v>988</v>
      </c>
      <c r="K165" s="6" t="s">
        <v>989</v>
      </c>
      <c r="L165" s="29" t="n">
        <v>14</v>
      </c>
      <c r="M165" s="6" t="s">
        <v>990</v>
      </c>
      <c r="N165" s="6" t="s">
        <v>991</v>
      </c>
      <c r="O165" s="6" t="s">
        <v>992</v>
      </c>
      <c r="P165" s="6" t="s">
        <v>993</v>
      </c>
      <c r="Q165" s="6"/>
      <c r="R165" s="6"/>
      <c r="S165" s="6"/>
      <c r="T165" s="6"/>
      <c r="U165" s="6"/>
      <c r="V165" s="6" t="s">
        <v>994</v>
      </c>
      <c r="W165" s="6"/>
      <c r="X165" s="6"/>
      <c r="Y165" s="6"/>
      <c r="Z165" s="6"/>
      <c r="AA165" s="6"/>
      <c r="AB165" s="6"/>
      <c r="AC165" s="6" t="s">
        <v>331</v>
      </c>
      <c r="AD165" s="30" t="s">
        <v>208</v>
      </c>
      <c r="AE165" s="30" t="s">
        <v>237</v>
      </c>
      <c r="AF165" s="31"/>
      <c r="AG165" s="32"/>
      <c r="AH165" s="31"/>
      <c r="AI165" s="32"/>
      <c r="AJ165" s="33" t="s">
        <v>127</v>
      </c>
      <c r="AK165" s="34"/>
      <c r="AL165" s="34"/>
      <c r="AM165" s="35"/>
      <c r="AN165" s="36" t="str">
        <f aca="false">IF(AD165&lt;&gt;"Y","Out of scope",IF(AF165="","Awaiting response",IF(AND(OR(AF165="Yes",AF165="Partial"),AG165=""),"No detail: treat as unanswered",IF(AND(AF165="Yes",AI165=""),"No evidence link",IF(AND(AJ165="Gap",OR(AL165="",AM165="")),"Gap needs owner and due date","OK")))))</f>
        <v>Awaiting response</v>
      </c>
    </row>
    <row r="166" customFormat="false" ht="91" hidden="false" customHeight="false" outlineLevel="0" collapsed="false">
      <c r="A166" s="28" t="s">
        <v>999</v>
      </c>
      <c r="B166" s="6" t="s">
        <v>984</v>
      </c>
      <c r="C166" s="6" t="s">
        <v>985</v>
      </c>
      <c r="D166" s="6" t="s">
        <v>157</v>
      </c>
      <c r="E166" s="29" t="s">
        <v>232</v>
      </c>
      <c r="F166" s="29" t="s">
        <v>33</v>
      </c>
      <c r="G166" s="29" t="s">
        <v>38</v>
      </c>
      <c r="H166" s="6" t="s">
        <v>1000</v>
      </c>
      <c r="I166" s="6" t="s">
        <v>987</v>
      </c>
      <c r="J166" s="6" t="s">
        <v>988</v>
      </c>
      <c r="K166" s="6" t="s">
        <v>989</v>
      </c>
      <c r="L166" s="29" t="n">
        <v>14</v>
      </c>
      <c r="M166" s="6" t="s">
        <v>990</v>
      </c>
      <c r="N166" s="6" t="s">
        <v>991</v>
      </c>
      <c r="O166" s="6" t="s">
        <v>992</v>
      </c>
      <c r="P166" s="6" t="s">
        <v>993</v>
      </c>
      <c r="Q166" s="6"/>
      <c r="R166" s="6"/>
      <c r="S166" s="6"/>
      <c r="T166" s="6"/>
      <c r="U166" s="6"/>
      <c r="V166" s="6" t="s">
        <v>994</v>
      </c>
      <c r="W166" s="6"/>
      <c r="X166" s="6"/>
      <c r="Y166" s="6"/>
      <c r="Z166" s="6"/>
      <c r="AA166" s="6"/>
      <c r="AB166" s="6"/>
      <c r="AC166" s="6" t="s">
        <v>331</v>
      </c>
      <c r="AD166" s="30" t="s">
        <v>208</v>
      </c>
      <c r="AE166" s="30" t="s">
        <v>237</v>
      </c>
      <c r="AF166" s="31"/>
      <c r="AG166" s="32"/>
      <c r="AH166" s="31"/>
      <c r="AI166" s="32"/>
      <c r="AJ166" s="33" t="s">
        <v>127</v>
      </c>
      <c r="AK166" s="34"/>
      <c r="AL166" s="34"/>
      <c r="AM166" s="35"/>
      <c r="AN166" s="36" t="str">
        <f aca="false">IF(AD166&lt;&gt;"Y","Out of scope",IF(AF166="","Awaiting response",IF(AND(OR(AF166="Yes",AF166="Partial"),AG166=""),"No detail: treat as unanswered",IF(AND(AF166="Yes",AI166=""),"No evidence link",IF(AND(AJ166="Gap",OR(AL166="",AM166="")),"Gap needs owner and due date","OK")))))</f>
        <v>Awaiting response</v>
      </c>
    </row>
    <row r="167" customFormat="false" ht="91" hidden="false" customHeight="false" outlineLevel="0" collapsed="false">
      <c r="A167" s="28" t="s">
        <v>1001</v>
      </c>
      <c r="B167" s="6" t="s">
        <v>984</v>
      </c>
      <c r="C167" s="6" t="s">
        <v>985</v>
      </c>
      <c r="D167" s="6" t="s">
        <v>157</v>
      </c>
      <c r="E167" s="29" t="s">
        <v>232</v>
      </c>
      <c r="F167" s="29" t="s">
        <v>33</v>
      </c>
      <c r="G167" s="29" t="s">
        <v>38</v>
      </c>
      <c r="H167" s="6" t="s">
        <v>1002</v>
      </c>
      <c r="I167" s="6" t="s">
        <v>987</v>
      </c>
      <c r="J167" s="6" t="s">
        <v>988</v>
      </c>
      <c r="K167" s="6" t="s">
        <v>989</v>
      </c>
      <c r="L167" s="29" t="n">
        <v>14</v>
      </c>
      <c r="M167" s="6" t="s">
        <v>990</v>
      </c>
      <c r="N167" s="6" t="s">
        <v>991</v>
      </c>
      <c r="O167" s="6" t="s">
        <v>992</v>
      </c>
      <c r="P167" s="6" t="s">
        <v>993</v>
      </c>
      <c r="Q167" s="6"/>
      <c r="R167" s="6"/>
      <c r="S167" s="6"/>
      <c r="T167" s="6"/>
      <c r="U167" s="6"/>
      <c r="V167" s="6" t="s">
        <v>994</v>
      </c>
      <c r="W167" s="6"/>
      <c r="X167" s="6"/>
      <c r="Y167" s="6"/>
      <c r="Z167" s="6"/>
      <c r="AA167" s="6"/>
      <c r="AB167" s="6"/>
      <c r="AC167" s="6" t="s">
        <v>331</v>
      </c>
      <c r="AD167" s="30" t="s">
        <v>208</v>
      </c>
      <c r="AE167" s="30" t="s">
        <v>237</v>
      </c>
      <c r="AF167" s="31"/>
      <c r="AG167" s="32"/>
      <c r="AH167" s="31"/>
      <c r="AI167" s="32"/>
      <c r="AJ167" s="33" t="s">
        <v>127</v>
      </c>
      <c r="AK167" s="34"/>
      <c r="AL167" s="34"/>
      <c r="AM167" s="35"/>
      <c r="AN167" s="36" t="str">
        <f aca="false">IF(AD167&lt;&gt;"Y","Out of scope",IF(AF167="","Awaiting response",IF(AND(OR(AF167="Yes",AF167="Partial"),AG167=""),"No detail: treat as unanswered",IF(AND(AF167="Yes",AI167=""),"No evidence link",IF(AND(AJ167="Gap",OR(AL167="",AM167="")),"Gap needs owner and due date","OK")))))</f>
        <v>Awaiting response</v>
      </c>
    </row>
    <row r="168" customFormat="false" ht="91" hidden="false" customHeight="false" outlineLevel="0" collapsed="false">
      <c r="A168" s="28" t="s">
        <v>1003</v>
      </c>
      <c r="B168" s="6" t="s">
        <v>1004</v>
      </c>
      <c r="C168" s="6" t="s">
        <v>1005</v>
      </c>
      <c r="D168" s="6" t="s">
        <v>149</v>
      </c>
      <c r="E168" s="29" t="s">
        <v>232</v>
      </c>
      <c r="F168" s="29" t="s">
        <v>31</v>
      </c>
      <c r="G168" s="29" t="s">
        <v>38</v>
      </c>
      <c r="H168" s="6" t="s">
        <v>1006</v>
      </c>
      <c r="I168" s="6" t="s">
        <v>1007</v>
      </c>
      <c r="J168" s="6" t="s">
        <v>1008</v>
      </c>
      <c r="K168" s="6" t="s">
        <v>1009</v>
      </c>
      <c r="L168" s="29" t="n">
        <v>7</v>
      </c>
      <c r="M168" s="6" t="s">
        <v>1010</v>
      </c>
      <c r="N168" s="6" t="s">
        <v>1011</v>
      </c>
      <c r="O168" s="6" t="s">
        <v>1012</v>
      </c>
      <c r="P168" s="6" t="s">
        <v>1013</v>
      </c>
      <c r="Q168" s="6" t="s">
        <v>1014</v>
      </c>
      <c r="R168" s="6"/>
      <c r="S168" s="6" t="s">
        <v>1015</v>
      </c>
      <c r="T168" s="6" t="s">
        <v>1016</v>
      </c>
      <c r="U168" s="6" t="s">
        <v>1017</v>
      </c>
      <c r="V168" s="6" t="s">
        <v>1018</v>
      </c>
      <c r="W168" s="6" t="s">
        <v>972</v>
      </c>
      <c r="X168" s="6" t="s">
        <v>381</v>
      </c>
      <c r="Y168" s="6" t="s">
        <v>645</v>
      </c>
      <c r="Z168" s="6" t="s">
        <v>920</v>
      </c>
      <c r="AA168" s="6" t="s">
        <v>975</v>
      </c>
      <c r="AB168" s="6" t="s">
        <v>647</v>
      </c>
      <c r="AC168" s="6" t="s">
        <v>1019</v>
      </c>
      <c r="AD168" s="30" t="s">
        <v>208</v>
      </c>
      <c r="AE168" s="30" t="s">
        <v>237</v>
      </c>
      <c r="AF168" s="31"/>
      <c r="AG168" s="32"/>
      <c r="AH168" s="31"/>
      <c r="AI168" s="32"/>
      <c r="AJ168" s="33" t="s">
        <v>127</v>
      </c>
      <c r="AK168" s="34"/>
      <c r="AL168" s="34"/>
      <c r="AM168" s="35"/>
      <c r="AN168" s="36" t="str">
        <f aca="false">IF(AD168&lt;&gt;"Y","Out of scope",IF(AF168="","Awaiting response",IF(AND(OR(AF168="Yes",AF168="Partial"),AG168=""),"No detail: treat as unanswered",IF(AND(AF168="Yes",AI168=""),"No evidence link",IF(AND(AJ168="Gap",OR(AL168="",AM168="")),"Gap needs owner and due date","OK")))))</f>
        <v>Awaiting response</v>
      </c>
    </row>
    <row r="169" customFormat="false" ht="91" hidden="false" customHeight="false" outlineLevel="0" collapsed="false">
      <c r="A169" s="28" t="s">
        <v>1020</v>
      </c>
      <c r="B169" s="6" t="s">
        <v>1004</v>
      </c>
      <c r="C169" s="6" t="s">
        <v>1005</v>
      </c>
      <c r="D169" s="6" t="s">
        <v>149</v>
      </c>
      <c r="E169" s="29" t="s">
        <v>232</v>
      </c>
      <c r="F169" s="29" t="s">
        <v>31</v>
      </c>
      <c r="G169" s="29" t="s">
        <v>38</v>
      </c>
      <c r="H169" s="6" t="s">
        <v>1021</v>
      </c>
      <c r="I169" s="6" t="s">
        <v>1007</v>
      </c>
      <c r="J169" s="6" t="s">
        <v>1008</v>
      </c>
      <c r="K169" s="6" t="s">
        <v>1009</v>
      </c>
      <c r="L169" s="29" t="n">
        <v>7</v>
      </c>
      <c r="M169" s="6" t="s">
        <v>1010</v>
      </c>
      <c r="N169" s="6" t="s">
        <v>1011</v>
      </c>
      <c r="O169" s="6" t="s">
        <v>1012</v>
      </c>
      <c r="P169" s="6" t="s">
        <v>1013</v>
      </c>
      <c r="Q169" s="6" t="s">
        <v>1014</v>
      </c>
      <c r="R169" s="6"/>
      <c r="S169" s="6" t="s">
        <v>1015</v>
      </c>
      <c r="T169" s="6" t="s">
        <v>1016</v>
      </c>
      <c r="U169" s="6" t="s">
        <v>1017</v>
      </c>
      <c r="V169" s="6" t="s">
        <v>1018</v>
      </c>
      <c r="W169" s="6" t="s">
        <v>972</v>
      </c>
      <c r="X169" s="6" t="s">
        <v>381</v>
      </c>
      <c r="Y169" s="6" t="s">
        <v>645</v>
      </c>
      <c r="Z169" s="6" t="s">
        <v>920</v>
      </c>
      <c r="AA169" s="6" t="s">
        <v>975</v>
      </c>
      <c r="AB169" s="6" t="s">
        <v>647</v>
      </c>
      <c r="AC169" s="6" t="s">
        <v>1019</v>
      </c>
      <c r="AD169" s="30" t="s">
        <v>208</v>
      </c>
      <c r="AE169" s="30" t="s">
        <v>237</v>
      </c>
      <c r="AF169" s="31"/>
      <c r="AG169" s="32"/>
      <c r="AH169" s="31"/>
      <c r="AI169" s="32"/>
      <c r="AJ169" s="33" t="s">
        <v>127</v>
      </c>
      <c r="AK169" s="34"/>
      <c r="AL169" s="34"/>
      <c r="AM169" s="35"/>
      <c r="AN169" s="36" t="str">
        <f aca="false">IF(AD169&lt;&gt;"Y","Out of scope",IF(AF169="","Awaiting response",IF(AND(OR(AF169="Yes",AF169="Partial"),AG169=""),"No detail: treat as unanswered",IF(AND(AF169="Yes",AI169=""),"No evidence link",IF(AND(AJ169="Gap",OR(AL169="",AM169="")),"Gap needs owner and due date","OK")))))</f>
        <v>Awaiting response</v>
      </c>
    </row>
    <row r="170" customFormat="false" ht="91" hidden="false" customHeight="false" outlineLevel="0" collapsed="false">
      <c r="A170" s="28" t="s">
        <v>1022</v>
      </c>
      <c r="B170" s="6" t="s">
        <v>1004</v>
      </c>
      <c r="C170" s="6" t="s">
        <v>1005</v>
      </c>
      <c r="D170" s="6" t="s">
        <v>149</v>
      </c>
      <c r="E170" s="29" t="s">
        <v>232</v>
      </c>
      <c r="F170" s="29" t="s">
        <v>31</v>
      </c>
      <c r="G170" s="29" t="s">
        <v>38</v>
      </c>
      <c r="H170" s="6" t="s">
        <v>1023</v>
      </c>
      <c r="I170" s="6" t="s">
        <v>1007</v>
      </c>
      <c r="J170" s="6" t="s">
        <v>1008</v>
      </c>
      <c r="K170" s="6" t="s">
        <v>1009</v>
      </c>
      <c r="L170" s="29" t="n">
        <v>7</v>
      </c>
      <c r="M170" s="6" t="s">
        <v>1010</v>
      </c>
      <c r="N170" s="6" t="s">
        <v>1011</v>
      </c>
      <c r="O170" s="6" t="s">
        <v>1012</v>
      </c>
      <c r="P170" s="6" t="s">
        <v>1013</v>
      </c>
      <c r="Q170" s="6" t="s">
        <v>1014</v>
      </c>
      <c r="R170" s="6"/>
      <c r="S170" s="6" t="s">
        <v>1015</v>
      </c>
      <c r="T170" s="6" t="s">
        <v>1016</v>
      </c>
      <c r="U170" s="6" t="s">
        <v>1017</v>
      </c>
      <c r="V170" s="6" t="s">
        <v>1018</v>
      </c>
      <c r="W170" s="6" t="s">
        <v>972</v>
      </c>
      <c r="X170" s="6" t="s">
        <v>381</v>
      </c>
      <c r="Y170" s="6" t="s">
        <v>645</v>
      </c>
      <c r="Z170" s="6" t="s">
        <v>920</v>
      </c>
      <c r="AA170" s="6" t="s">
        <v>975</v>
      </c>
      <c r="AB170" s="6" t="s">
        <v>647</v>
      </c>
      <c r="AC170" s="6" t="s">
        <v>1019</v>
      </c>
      <c r="AD170" s="30" t="s">
        <v>208</v>
      </c>
      <c r="AE170" s="30" t="s">
        <v>237</v>
      </c>
      <c r="AF170" s="31"/>
      <c r="AG170" s="32"/>
      <c r="AH170" s="31"/>
      <c r="AI170" s="32"/>
      <c r="AJ170" s="33" t="s">
        <v>127</v>
      </c>
      <c r="AK170" s="34"/>
      <c r="AL170" s="34"/>
      <c r="AM170" s="35"/>
      <c r="AN170" s="36" t="str">
        <f aca="false">IF(AD170&lt;&gt;"Y","Out of scope",IF(AF170="","Awaiting response",IF(AND(OR(AF170="Yes",AF170="Partial"),AG170=""),"No detail: treat as unanswered",IF(AND(AF170="Yes",AI170=""),"No evidence link",IF(AND(AJ170="Gap",OR(AL170="",AM170="")),"Gap needs owner and due date","OK")))))</f>
        <v>Awaiting response</v>
      </c>
    </row>
    <row r="171" customFormat="false" ht="91" hidden="false" customHeight="false" outlineLevel="0" collapsed="false">
      <c r="A171" s="28" t="s">
        <v>1024</v>
      </c>
      <c r="B171" s="6" t="s">
        <v>1004</v>
      </c>
      <c r="C171" s="6" t="s">
        <v>1005</v>
      </c>
      <c r="D171" s="6" t="s">
        <v>149</v>
      </c>
      <c r="E171" s="29" t="s">
        <v>232</v>
      </c>
      <c r="F171" s="29" t="s">
        <v>31</v>
      </c>
      <c r="G171" s="29" t="s">
        <v>38</v>
      </c>
      <c r="H171" s="6" t="s">
        <v>1025</v>
      </c>
      <c r="I171" s="6" t="s">
        <v>1007</v>
      </c>
      <c r="J171" s="6" t="s">
        <v>1008</v>
      </c>
      <c r="K171" s="6" t="s">
        <v>1009</v>
      </c>
      <c r="L171" s="29" t="n">
        <v>7</v>
      </c>
      <c r="M171" s="6" t="s">
        <v>1010</v>
      </c>
      <c r="N171" s="6" t="s">
        <v>1011</v>
      </c>
      <c r="O171" s="6" t="s">
        <v>1012</v>
      </c>
      <c r="P171" s="6" t="s">
        <v>1013</v>
      </c>
      <c r="Q171" s="6" t="s">
        <v>1014</v>
      </c>
      <c r="R171" s="6"/>
      <c r="S171" s="6" t="s">
        <v>1015</v>
      </c>
      <c r="T171" s="6" t="s">
        <v>1016</v>
      </c>
      <c r="U171" s="6" t="s">
        <v>1017</v>
      </c>
      <c r="V171" s="6" t="s">
        <v>1018</v>
      </c>
      <c r="W171" s="6" t="s">
        <v>972</v>
      </c>
      <c r="X171" s="6" t="s">
        <v>381</v>
      </c>
      <c r="Y171" s="6" t="s">
        <v>645</v>
      </c>
      <c r="Z171" s="6" t="s">
        <v>920</v>
      </c>
      <c r="AA171" s="6" t="s">
        <v>975</v>
      </c>
      <c r="AB171" s="6" t="s">
        <v>647</v>
      </c>
      <c r="AC171" s="6" t="s">
        <v>1019</v>
      </c>
      <c r="AD171" s="30" t="s">
        <v>208</v>
      </c>
      <c r="AE171" s="30" t="s">
        <v>237</v>
      </c>
      <c r="AF171" s="31"/>
      <c r="AG171" s="32"/>
      <c r="AH171" s="31"/>
      <c r="AI171" s="32"/>
      <c r="AJ171" s="33" t="s">
        <v>127</v>
      </c>
      <c r="AK171" s="34"/>
      <c r="AL171" s="34"/>
      <c r="AM171" s="35"/>
      <c r="AN171" s="36" t="str">
        <f aca="false">IF(AD171&lt;&gt;"Y","Out of scope",IF(AF171="","Awaiting response",IF(AND(OR(AF171="Yes",AF171="Partial"),AG171=""),"No detail: treat as unanswered",IF(AND(AF171="Yes",AI171=""),"No evidence link",IF(AND(AJ171="Gap",OR(AL171="",AM171="")),"Gap needs owner and due date","OK")))))</f>
        <v>Awaiting response</v>
      </c>
    </row>
    <row r="172" customFormat="false" ht="91" hidden="false" customHeight="false" outlineLevel="0" collapsed="false">
      <c r="A172" s="28" t="s">
        <v>1026</v>
      </c>
      <c r="B172" s="6" t="s">
        <v>1004</v>
      </c>
      <c r="C172" s="6" t="s">
        <v>1005</v>
      </c>
      <c r="D172" s="6" t="s">
        <v>149</v>
      </c>
      <c r="E172" s="29" t="s">
        <v>232</v>
      </c>
      <c r="F172" s="29" t="s">
        <v>31</v>
      </c>
      <c r="G172" s="29" t="s">
        <v>38</v>
      </c>
      <c r="H172" s="6" t="s">
        <v>1027</v>
      </c>
      <c r="I172" s="6" t="s">
        <v>1007</v>
      </c>
      <c r="J172" s="6" t="s">
        <v>1008</v>
      </c>
      <c r="K172" s="6" t="s">
        <v>1009</v>
      </c>
      <c r="L172" s="29" t="n">
        <v>7</v>
      </c>
      <c r="M172" s="6" t="s">
        <v>1010</v>
      </c>
      <c r="N172" s="6" t="s">
        <v>1011</v>
      </c>
      <c r="O172" s="6" t="s">
        <v>1012</v>
      </c>
      <c r="P172" s="6" t="s">
        <v>1013</v>
      </c>
      <c r="Q172" s="6" t="s">
        <v>1014</v>
      </c>
      <c r="R172" s="6"/>
      <c r="S172" s="6" t="s">
        <v>1015</v>
      </c>
      <c r="T172" s="6" t="s">
        <v>1016</v>
      </c>
      <c r="U172" s="6" t="s">
        <v>1017</v>
      </c>
      <c r="V172" s="6" t="s">
        <v>1018</v>
      </c>
      <c r="W172" s="6" t="s">
        <v>972</v>
      </c>
      <c r="X172" s="6" t="s">
        <v>381</v>
      </c>
      <c r="Y172" s="6" t="s">
        <v>645</v>
      </c>
      <c r="Z172" s="6" t="s">
        <v>920</v>
      </c>
      <c r="AA172" s="6" t="s">
        <v>975</v>
      </c>
      <c r="AB172" s="6" t="s">
        <v>647</v>
      </c>
      <c r="AC172" s="6" t="s">
        <v>1019</v>
      </c>
      <c r="AD172" s="30" t="s">
        <v>208</v>
      </c>
      <c r="AE172" s="30" t="s">
        <v>237</v>
      </c>
      <c r="AF172" s="31"/>
      <c r="AG172" s="32"/>
      <c r="AH172" s="31"/>
      <c r="AI172" s="32"/>
      <c r="AJ172" s="33" t="s">
        <v>127</v>
      </c>
      <c r="AK172" s="34"/>
      <c r="AL172" s="34"/>
      <c r="AM172" s="35"/>
      <c r="AN172" s="36" t="str">
        <f aca="false">IF(AD172&lt;&gt;"Y","Out of scope",IF(AF172="","Awaiting response",IF(AND(OR(AF172="Yes",AF172="Partial"),AG172=""),"No detail: treat as unanswered",IF(AND(AF172="Yes",AI172=""),"No evidence link",IF(AND(AJ172="Gap",OR(AL172="",AM172="")),"Gap needs owner and due date","OK")))))</f>
        <v>Awaiting response</v>
      </c>
    </row>
    <row r="173" customFormat="false" ht="91" hidden="false" customHeight="false" outlineLevel="0" collapsed="false">
      <c r="A173" s="28" t="s">
        <v>1028</v>
      </c>
      <c r="B173" s="6" t="s">
        <v>1004</v>
      </c>
      <c r="C173" s="6" t="s">
        <v>1005</v>
      </c>
      <c r="D173" s="6" t="s">
        <v>149</v>
      </c>
      <c r="E173" s="29" t="s">
        <v>232</v>
      </c>
      <c r="F173" s="29" t="s">
        <v>31</v>
      </c>
      <c r="G173" s="29" t="s">
        <v>38</v>
      </c>
      <c r="H173" s="6" t="s">
        <v>1029</v>
      </c>
      <c r="I173" s="6" t="s">
        <v>1007</v>
      </c>
      <c r="J173" s="6" t="s">
        <v>1008</v>
      </c>
      <c r="K173" s="6" t="s">
        <v>1009</v>
      </c>
      <c r="L173" s="29" t="n">
        <v>7</v>
      </c>
      <c r="M173" s="6" t="s">
        <v>1010</v>
      </c>
      <c r="N173" s="6" t="s">
        <v>1011</v>
      </c>
      <c r="O173" s="6" t="s">
        <v>1012</v>
      </c>
      <c r="P173" s="6" t="s">
        <v>1013</v>
      </c>
      <c r="Q173" s="6" t="s">
        <v>1014</v>
      </c>
      <c r="R173" s="6"/>
      <c r="S173" s="6" t="s">
        <v>1015</v>
      </c>
      <c r="T173" s="6" t="s">
        <v>1016</v>
      </c>
      <c r="U173" s="6" t="s">
        <v>1017</v>
      </c>
      <c r="V173" s="6" t="s">
        <v>1018</v>
      </c>
      <c r="W173" s="6" t="s">
        <v>972</v>
      </c>
      <c r="X173" s="6" t="s">
        <v>381</v>
      </c>
      <c r="Y173" s="6" t="s">
        <v>645</v>
      </c>
      <c r="Z173" s="6" t="s">
        <v>920</v>
      </c>
      <c r="AA173" s="6" t="s">
        <v>975</v>
      </c>
      <c r="AB173" s="6" t="s">
        <v>647</v>
      </c>
      <c r="AC173" s="6" t="s">
        <v>1019</v>
      </c>
      <c r="AD173" s="30" t="s">
        <v>208</v>
      </c>
      <c r="AE173" s="30" t="s">
        <v>237</v>
      </c>
      <c r="AF173" s="31"/>
      <c r="AG173" s="32"/>
      <c r="AH173" s="31"/>
      <c r="AI173" s="32"/>
      <c r="AJ173" s="33" t="s">
        <v>127</v>
      </c>
      <c r="AK173" s="34"/>
      <c r="AL173" s="34"/>
      <c r="AM173" s="35"/>
      <c r="AN173" s="36" t="str">
        <f aca="false">IF(AD173&lt;&gt;"Y","Out of scope",IF(AF173="","Awaiting response",IF(AND(OR(AF173="Yes",AF173="Partial"),AG173=""),"No detail: treat as unanswered",IF(AND(AF173="Yes",AI173=""),"No evidence link",IF(AND(AJ173="Gap",OR(AL173="",AM173="")),"Gap needs owner and due date","OK")))))</f>
        <v>Awaiting response</v>
      </c>
    </row>
    <row r="174" customFormat="false" ht="91" hidden="false" customHeight="false" outlineLevel="0" collapsed="false">
      <c r="A174" s="28" t="s">
        <v>1030</v>
      </c>
      <c r="B174" s="6" t="s">
        <v>1004</v>
      </c>
      <c r="C174" s="6" t="s">
        <v>1005</v>
      </c>
      <c r="D174" s="6" t="s">
        <v>149</v>
      </c>
      <c r="E174" s="29" t="s">
        <v>232</v>
      </c>
      <c r="F174" s="29" t="s">
        <v>31</v>
      </c>
      <c r="G174" s="29" t="s">
        <v>38</v>
      </c>
      <c r="H174" s="6" t="s">
        <v>1031</v>
      </c>
      <c r="I174" s="6" t="s">
        <v>1007</v>
      </c>
      <c r="J174" s="6" t="s">
        <v>1008</v>
      </c>
      <c r="K174" s="6" t="s">
        <v>1009</v>
      </c>
      <c r="L174" s="29" t="n">
        <v>7</v>
      </c>
      <c r="M174" s="6" t="s">
        <v>1010</v>
      </c>
      <c r="N174" s="6" t="s">
        <v>1011</v>
      </c>
      <c r="O174" s="6" t="s">
        <v>1012</v>
      </c>
      <c r="P174" s="6" t="s">
        <v>1013</v>
      </c>
      <c r="Q174" s="6" t="s">
        <v>1014</v>
      </c>
      <c r="R174" s="6"/>
      <c r="S174" s="6" t="s">
        <v>1015</v>
      </c>
      <c r="T174" s="6" t="s">
        <v>1016</v>
      </c>
      <c r="U174" s="6" t="s">
        <v>1017</v>
      </c>
      <c r="V174" s="6" t="s">
        <v>1018</v>
      </c>
      <c r="W174" s="6" t="s">
        <v>972</v>
      </c>
      <c r="X174" s="6" t="s">
        <v>381</v>
      </c>
      <c r="Y174" s="6" t="s">
        <v>645</v>
      </c>
      <c r="Z174" s="6" t="s">
        <v>920</v>
      </c>
      <c r="AA174" s="6" t="s">
        <v>975</v>
      </c>
      <c r="AB174" s="6" t="s">
        <v>647</v>
      </c>
      <c r="AC174" s="6" t="s">
        <v>1019</v>
      </c>
      <c r="AD174" s="30" t="s">
        <v>208</v>
      </c>
      <c r="AE174" s="30" t="s">
        <v>237</v>
      </c>
      <c r="AF174" s="31"/>
      <c r="AG174" s="32"/>
      <c r="AH174" s="31"/>
      <c r="AI174" s="32"/>
      <c r="AJ174" s="33" t="s">
        <v>127</v>
      </c>
      <c r="AK174" s="34"/>
      <c r="AL174" s="34"/>
      <c r="AM174" s="35"/>
      <c r="AN174" s="36" t="str">
        <f aca="false">IF(AD174&lt;&gt;"Y","Out of scope",IF(AF174="","Awaiting response",IF(AND(OR(AF174="Yes",AF174="Partial"),AG174=""),"No detail: treat as unanswered",IF(AND(AF174="Yes",AI174=""),"No evidence link",IF(AND(AJ174="Gap",OR(AL174="",AM174="")),"Gap needs owner and due date","OK")))))</f>
        <v>Awaiting response</v>
      </c>
    </row>
    <row r="175" customFormat="false" ht="91" hidden="false" customHeight="false" outlineLevel="0" collapsed="false">
      <c r="A175" s="28" t="s">
        <v>1032</v>
      </c>
      <c r="B175" s="6" t="s">
        <v>1004</v>
      </c>
      <c r="C175" s="6" t="s">
        <v>1005</v>
      </c>
      <c r="D175" s="6" t="s">
        <v>149</v>
      </c>
      <c r="E175" s="29" t="s">
        <v>232</v>
      </c>
      <c r="F175" s="29" t="s">
        <v>31</v>
      </c>
      <c r="G175" s="29" t="s">
        <v>38</v>
      </c>
      <c r="H175" s="6" t="s">
        <v>1033</v>
      </c>
      <c r="I175" s="6" t="s">
        <v>1007</v>
      </c>
      <c r="J175" s="6" t="s">
        <v>1008</v>
      </c>
      <c r="K175" s="6" t="s">
        <v>1009</v>
      </c>
      <c r="L175" s="29" t="n">
        <v>7</v>
      </c>
      <c r="M175" s="6" t="s">
        <v>1010</v>
      </c>
      <c r="N175" s="6" t="s">
        <v>1011</v>
      </c>
      <c r="O175" s="6" t="s">
        <v>1012</v>
      </c>
      <c r="P175" s="6" t="s">
        <v>1013</v>
      </c>
      <c r="Q175" s="6" t="s">
        <v>1014</v>
      </c>
      <c r="R175" s="6"/>
      <c r="S175" s="6" t="s">
        <v>1015</v>
      </c>
      <c r="T175" s="6" t="s">
        <v>1016</v>
      </c>
      <c r="U175" s="6" t="s">
        <v>1017</v>
      </c>
      <c r="V175" s="6" t="s">
        <v>1018</v>
      </c>
      <c r="W175" s="6" t="s">
        <v>972</v>
      </c>
      <c r="X175" s="6" t="s">
        <v>381</v>
      </c>
      <c r="Y175" s="6" t="s">
        <v>645</v>
      </c>
      <c r="Z175" s="6" t="s">
        <v>920</v>
      </c>
      <c r="AA175" s="6" t="s">
        <v>975</v>
      </c>
      <c r="AB175" s="6" t="s">
        <v>647</v>
      </c>
      <c r="AC175" s="6" t="s">
        <v>1019</v>
      </c>
      <c r="AD175" s="30" t="s">
        <v>208</v>
      </c>
      <c r="AE175" s="30" t="s">
        <v>237</v>
      </c>
      <c r="AF175" s="31"/>
      <c r="AG175" s="32"/>
      <c r="AH175" s="31"/>
      <c r="AI175" s="32"/>
      <c r="AJ175" s="33" t="s">
        <v>127</v>
      </c>
      <c r="AK175" s="34"/>
      <c r="AL175" s="34"/>
      <c r="AM175" s="35"/>
      <c r="AN175" s="36" t="str">
        <f aca="false">IF(AD175&lt;&gt;"Y","Out of scope",IF(AF175="","Awaiting response",IF(AND(OR(AF175="Yes",AF175="Partial"),AG175=""),"No detail: treat as unanswered",IF(AND(AF175="Yes",AI175=""),"No evidence link",IF(AND(AJ175="Gap",OR(AL175="",AM175="")),"Gap needs owner and due date","OK")))))</f>
        <v>Awaiting response</v>
      </c>
    </row>
    <row r="176" customFormat="false" ht="102.2" hidden="false" customHeight="false" outlineLevel="0" collapsed="false">
      <c r="A176" s="28" t="s">
        <v>1034</v>
      </c>
      <c r="B176" s="6" t="s">
        <v>1035</v>
      </c>
      <c r="C176" s="6" t="s">
        <v>1036</v>
      </c>
      <c r="D176" s="6" t="s">
        <v>154</v>
      </c>
      <c r="E176" s="29" t="s">
        <v>232</v>
      </c>
      <c r="F176" s="29" t="s">
        <v>29</v>
      </c>
      <c r="G176" s="29" t="s">
        <v>38</v>
      </c>
      <c r="H176" s="6" t="s">
        <v>1037</v>
      </c>
      <c r="I176" s="6" t="s">
        <v>1038</v>
      </c>
      <c r="J176" s="6" t="s">
        <v>1039</v>
      </c>
      <c r="K176" s="6" t="s">
        <v>1040</v>
      </c>
      <c r="L176" s="29" t="n">
        <v>4</v>
      </c>
      <c r="M176" s="6" t="s">
        <v>1041</v>
      </c>
      <c r="N176" s="6" t="s">
        <v>1042</v>
      </c>
      <c r="O176" s="6" t="s">
        <v>1043</v>
      </c>
      <c r="P176" s="6" t="s">
        <v>1044</v>
      </c>
      <c r="Q176" s="6"/>
      <c r="R176" s="6"/>
      <c r="S176" s="6" t="s">
        <v>1045</v>
      </c>
      <c r="T176" s="6"/>
      <c r="U176" s="6"/>
      <c r="V176" s="6"/>
      <c r="W176" s="6"/>
      <c r="X176" s="6"/>
      <c r="Y176" s="6"/>
      <c r="Z176" s="6"/>
      <c r="AA176" s="6"/>
      <c r="AB176" s="6"/>
      <c r="AC176" s="6"/>
      <c r="AD176" s="30" t="s">
        <v>208</v>
      </c>
      <c r="AE176" s="30" t="s">
        <v>237</v>
      </c>
      <c r="AF176" s="31"/>
      <c r="AG176" s="32"/>
      <c r="AH176" s="31"/>
      <c r="AI176" s="32"/>
      <c r="AJ176" s="33" t="s">
        <v>127</v>
      </c>
      <c r="AK176" s="34"/>
      <c r="AL176" s="34"/>
      <c r="AM176" s="35"/>
      <c r="AN176" s="36" t="str">
        <f aca="false">IF(AD176&lt;&gt;"Y","Out of scope",IF(AF176="","Awaiting response",IF(AND(OR(AF176="Yes",AF176="Partial"),AG176=""),"No detail: treat as unanswered",IF(AND(AF176="Yes",AI176=""),"No evidence link",IF(AND(AJ176="Gap",OR(AL176="",AM176="")),"Gap needs owner and due date","OK")))))</f>
        <v>Awaiting response</v>
      </c>
    </row>
    <row r="177" customFormat="false" ht="102.2" hidden="false" customHeight="false" outlineLevel="0" collapsed="false">
      <c r="A177" s="28" t="s">
        <v>1046</v>
      </c>
      <c r="B177" s="6" t="s">
        <v>1035</v>
      </c>
      <c r="C177" s="6" t="s">
        <v>1036</v>
      </c>
      <c r="D177" s="6" t="s">
        <v>154</v>
      </c>
      <c r="E177" s="29" t="s">
        <v>232</v>
      </c>
      <c r="F177" s="29" t="s">
        <v>29</v>
      </c>
      <c r="G177" s="29" t="s">
        <v>38</v>
      </c>
      <c r="H177" s="6" t="s">
        <v>1047</v>
      </c>
      <c r="I177" s="6" t="s">
        <v>1038</v>
      </c>
      <c r="J177" s="6" t="s">
        <v>1039</v>
      </c>
      <c r="K177" s="6" t="s">
        <v>1040</v>
      </c>
      <c r="L177" s="29" t="n">
        <v>4</v>
      </c>
      <c r="M177" s="6" t="s">
        <v>1041</v>
      </c>
      <c r="N177" s="6" t="s">
        <v>1042</v>
      </c>
      <c r="O177" s="6" t="s">
        <v>1043</v>
      </c>
      <c r="P177" s="6" t="s">
        <v>1044</v>
      </c>
      <c r="Q177" s="6"/>
      <c r="R177" s="6"/>
      <c r="S177" s="6" t="s">
        <v>1045</v>
      </c>
      <c r="T177" s="6"/>
      <c r="U177" s="6"/>
      <c r="V177" s="6"/>
      <c r="W177" s="6"/>
      <c r="X177" s="6"/>
      <c r="Y177" s="6"/>
      <c r="Z177" s="6"/>
      <c r="AA177" s="6"/>
      <c r="AB177" s="6"/>
      <c r="AC177" s="6"/>
      <c r="AD177" s="30" t="s">
        <v>208</v>
      </c>
      <c r="AE177" s="30" t="s">
        <v>237</v>
      </c>
      <c r="AF177" s="31"/>
      <c r="AG177" s="32"/>
      <c r="AH177" s="31"/>
      <c r="AI177" s="32"/>
      <c r="AJ177" s="33" t="s">
        <v>127</v>
      </c>
      <c r="AK177" s="34"/>
      <c r="AL177" s="34"/>
      <c r="AM177" s="35"/>
      <c r="AN177" s="36" t="str">
        <f aca="false">IF(AD177&lt;&gt;"Y","Out of scope",IF(AF177="","Awaiting response",IF(AND(OR(AF177="Yes",AF177="Partial"),AG177=""),"No detail: treat as unanswered",IF(AND(AF177="Yes",AI177=""),"No evidence link",IF(AND(AJ177="Gap",OR(AL177="",AM177="")),"Gap needs owner and due date","OK")))))</f>
        <v>Awaiting response</v>
      </c>
    </row>
    <row r="178" customFormat="false" ht="102.2" hidden="false" customHeight="false" outlineLevel="0" collapsed="false">
      <c r="A178" s="28" t="s">
        <v>1048</v>
      </c>
      <c r="B178" s="6" t="s">
        <v>1035</v>
      </c>
      <c r="C178" s="6" t="s">
        <v>1036</v>
      </c>
      <c r="D178" s="6" t="s">
        <v>154</v>
      </c>
      <c r="E178" s="29" t="s">
        <v>232</v>
      </c>
      <c r="F178" s="29" t="s">
        <v>29</v>
      </c>
      <c r="G178" s="29" t="s">
        <v>38</v>
      </c>
      <c r="H178" s="6" t="s">
        <v>1049</v>
      </c>
      <c r="I178" s="6" t="s">
        <v>1038</v>
      </c>
      <c r="J178" s="6" t="s">
        <v>1039</v>
      </c>
      <c r="K178" s="6" t="s">
        <v>1040</v>
      </c>
      <c r="L178" s="29" t="n">
        <v>4</v>
      </c>
      <c r="M178" s="6" t="s">
        <v>1041</v>
      </c>
      <c r="N178" s="6" t="s">
        <v>1042</v>
      </c>
      <c r="O178" s="6" t="s">
        <v>1043</v>
      </c>
      <c r="P178" s="6" t="s">
        <v>1044</v>
      </c>
      <c r="Q178" s="6"/>
      <c r="R178" s="6"/>
      <c r="S178" s="6" t="s">
        <v>1045</v>
      </c>
      <c r="T178" s="6"/>
      <c r="U178" s="6"/>
      <c r="V178" s="6"/>
      <c r="W178" s="6"/>
      <c r="X178" s="6"/>
      <c r="Y178" s="6"/>
      <c r="Z178" s="6"/>
      <c r="AA178" s="6"/>
      <c r="AB178" s="6"/>
      <c r="AC178" s="6"/>
      <c r="AD178" s="30" t="s">
        <v>208</v>
      </c>
      <c r="AE178" s="30" t="s">
        <v>237</v>
      </c>
      <c r="AF178" s="31"/>
      <c r="AG178" s="32"/>
      <c r="AH178" s="31"/>
      <c r="AI178" s="32"/>
      <c r="AJ178" s="33" t="s">
        <v>127</v>
      </c>
      <c r="AK178" s="34"/>
      <c r="AL178" s="34"/>
      <c r="AM178" s="35"/>
      <c r="AN178" s="36" t="str">
        <f aca="false">IF(AD178&lt;&gt;"Y","Out of scope",IF(AF178="","Awaiting response",IF(AND(OR(AF178="Yes",AF178="Partial"),AG178=""),"No detail: treat as unanswered",IF(AND(AF178="Yes",AI178=""),"No evidence link",IF(AND(AJ178="Gap",OR(AL178="",AM178="")),"Gap needs owner and due date","OK")))))</f>
        <v>Awaiting response</v>
      </c>
    </row>
    <row r="179" customFormat="false" ht="102.2" hidden="false" customHeight="false" outlineLevel="0" collapsed="false">
      <c r="A179" s="28" t="s">
        <v>1050</v>
      </c>
      <c r="B179" s="6" t="s">
        <v>1035</v>
      </c>
      <c r="C179" s="6" t="s">
        <v>1036</v>
      </c>
      <c r="D179" s="6" t="s">
        <v>154</v>
      </c>
      <c r="E179" s="29" t="s">
        <v>232</v>
      </c>
      <c r="F179" s="29" t="s">
        <v>29</v>
      </c>
      <c r="G179" s="29" t="s">
        <v>38</v>
      </c>
      <c r="H179" s="6" t="s">
        <v>1051</v>
      </c>
      <c r="I179" s="6" t="s">
        <v>1038</v>
      </c>
      <c r="J179" s="6" t="s">
        <v>1039</v>
      </c>
      <c r="K179" s="6" t="s">
        <v>1040</v>
      </c>
      <c r="L179" s="29" t="n">
        <v>4</v>
      </c>
      <c r="M179" s="6" t="s">
        <v>1041</v>
      </c>
      <c r="N179" s="6" t="s">
        <v>1042</v>
      </c>
      <c r="O179" s="6" t="s">
        <v>1043</v>
      </c>
      <c r="P179" s="6" t="s">
        <v>1044</v>
      </c>
      <c r="Q179" s="6"/>
      <c r="R179" s="6"/>
      <c r="S179" s="6" t="s">
        <v>1045</v>
      </c>
      <c r="T179" s="6"/>
      <c r="U179" s="6"/>
      <c r="V179" s="6"/>
      <c r="W179" s="6"/>
      <c r="X179" s="6"/>
      <c r="Y179" s="6"/>
      <c r="Z179" s="6"/>
      <c r="AA179" s="6"/>
      <c r="AB179" s="6"/>
      <c r="AC179" s="6"/>
      <c r="AD179" s="30" t="s">
        <v>208</v>
      </c>
      <c r="AE179" s="30" t="s">
        <v>237</v>
      </c>
      <c r="AF179" s="31"/>
      <c r="AG179" s="32"/>
      <c r="AH179" s="31"/>
      <c r="AI179" s="32"/>
      <c r="AJ179" s="33" t="s">
        <v>127</v>
      </c>
      <c r="AK179" s="34"/>
      <c r="AL179" s="34"/>
      <c r="AM179" s="35"/>
      <c r="AN179" s="36" t="str">
        <f aca="false">IF(AD179&lt;&gt;"Y","Out of scope",IF(AF179="","Awaiting response",IF(AND(OR(AF179="Yes",AF179="Partial"),AG179=""),"No detail: treat as unanswered",IF(AND(AF179="Yes",AI179=""),"No evidence link",IF(AND(AJ179="Gap",OR(AL179="",AM179="")),"Gap needs owner and due date","OK")))))</f>
        <v>Awaiting response</v>
      </c>
    </row>
    <row r="180" customFormat="false" ht="102.2" hidden="false" customHeight="false" outlineLevel="0" collapsed="false">
      <c r="A180" s="28" t="s">
        <v>1052</v>
      </c>
      <c r="B180" s="6" t="s">
        <v>1035</v>
      </c>
      <c r="C180" s="6" t="s">
        <v>1036</v>
      </c>
      <c r="D180" s="6" t="s">
        <v>154</v>
      </c>
      <c r="E180" s="29" t="s">
        <v>232</v>
      </c>
      <c r="F180" s="29" t="s">
        <v>29</v>
      </c>
      <c r="G180" s="29" t="s">
        <v>38</v>
      </c>
      <c r="H180" s="6" t="s">
        <v>1053</v>
      </c>
      <c r="I180" s="6" t="s">
        <v>1038</v>
      </c>
      <c r="J180" s="6" t="s">
        <v>1039</v>
      </c>
      <c r="K180" s="6" t="s">
        <v>1040</v>
      </c>
      <c r="L180" s="29" t="n">
        <v>4</v>
      </c>
      <c r="M180" s="6" t="s">
        <v>1041</v>
      </c>
      <c r="N180" s="6" t="s">
        <v>1042</v>
      </c>
      <c r="O180" s="6" t="s">
        <v>1043</v>
      </c>
      <c r="P180" s="6" t="s">
        <v>1044</v>
      </c>
      <c r="Q180" s="6"/>
      <c r="R180" s="6"/>
      <c r="S180" s="6" t="s">
        <v>1045</v>
      </c>
      <c r="T180" s="6"/>
      <c r="U180" s="6"/>
      <c r="V180" s="6"/>
      <c r="W180" s="6"/>
      <c r="X180" s="6"/>
      <c r="Y180" s="6"/>
      <c r="Z180" s="6"/>
      <c r="AA180" s="6"/>
      <c r="AB180" s="6"/>
      <c r="AC180" s="6"/>
      <c r="AD180" s="30" t="s">
        <v>208</v>
      </c>
      <c r="AE180" s="30" t="s">
        <v>237</v>
      </c>
      <c r="AF180" s="31"/>
      <c r="AG180" s="32"/>
      <c r="AH180" s="31"/>
      <c r="AI180" s="32"/>
      <c r="AJ180" s="33" t="s">
        <v>127</v>
      </c>
      <c r="AK180" s="34"/>
      <c r="AL180" s="34"/>
      <c r="AM180" s="35"/>
      <c r="AN180" s="36" t="str">
        <f aca="false">IF(AD180&lt;&gt;"Y","Out of scope",IF(AF180="","Awaiting response",IF(AND(OR(AF180="Yes",AF180="Partial"),AG180=""),"No detail: treat as unanswered",IF(AND(AF180="Yes",AI180=""),"No evidence link",IF(AND(AJ180="Gap",OR(AL180="",AM180="")),"Gap needs owner and due date","OK")))))</f>
        <v>Awaiting response</v>
      </c>
    </row>
    <row r="181" customFormat="false" ht="68.65" hidden="false" customHeight="false" outlineLevel="0" collapsed="false">
      <c r="A181" s="28" t="s">
        <v>1054</v>
      </c>
      <c r="B181" s="6" t="s">
        <v>1055</v>
      </c>
      <c r="C181" s="6" t="s">
        <v>1056</v>
      </c>
      <c r="D181" s="6" t="s">
        <v>154</v>
      </c>
      <c r="E181" s="29" t="s">
        <v>232</v>
      </c>
      <c r="F181" s="29" t="s">
        <v>35</v>
      </c>
      <c r="G181" s="29" t="s">
        <v>38</v>
      </c>
      <c r="H181" s="6" t="s">
        <v>1057</v>
      </c>
      <c r="I181" s="6" t="s">
        <v>1058</v>
      </c>
      <c r="J181" s="6" t="s">
        <v>1059</v>
      </c>
      <c r="K181" s="6" t="s">
        <v>1060</v>
      </c>
      <c r="L181" s="29" t="n">
        <v>4</v>
      </c>
      <c r="M181" s="6" t="s">
        <v>1061</v>
      </c>
      <c r="N181" s="6" t="s">
        <v>1062</v>
      </c>
      <c r="O181" s="6" t="s">
        <v>1063</v>
      </c>
      <c r="P181" s="6" t="s">
        <v>1064</v>
      </c>
      <c r="Q181" s="6"/>
      <c r="R181" s="6"/>
      <c r="S181" s="6"/>
      <c r="T181" s="6"/>
      <c r="U181" s="6"/>
      <c r="V181" s="6"/>
      <c r="W181" s="6"/>
      <c r="X181" s="6"/>
      <c r="Y181" s="6"/>
      <c r="Z181" s="6"/>
      <c r="AA181" s="6"/>
      <c r="AB181" s="6"/>
      <c r="AC181" s="6"/>
      <c r="AD181" s="30" t="s">
        <v>208</v>
      </c>
      <c r="AE181" s="30" t="s">
        <v>237</v>
      </c>
      <c r="AF181" s="31"/>
      <c r="AG181" s="32"/>
      <c r="AH181" s="31"/>
      <c r="AI181" s="32"/>
      <c r="AJ181" s="33" t="s">
        <v>127</v>
      </c>
      <c r="AK181" s="34"/>
      <c r="AL181" s="34"/>
      <c r="AM181" s="35"/>
      <c r="AN181" s="36" t="str">
        <f aca="false">IF(AD181&lt;&gt;"Y","Out of scope",IF(AF181="","Awaiting response",IF(AND(OR(AF181="Yes",AF181="Partial"),AG181=""),"No detail: treat as unanswered",IF(AND(AF181="Yes",AI181=""),"No evidence link",IF(AND(AJ181="Gap",OR(AL181="",AM181="")),"Gap needs owner and due date","OK")))))</f>
        <v>Awaiting response</v>
      </c>
    </row>
    <row r="182" customFormat="false" ht="68.65" hidden="false" customHeight="false" outlineLevel="0" collapsed="false">
      <c r="A182" s="28" t="s">
        <v>1065</v>
      </c>
      <c r="B182" s="6" t="s">
        <v>1055</v>
      </c>
      <c r="C182" s="6" t="s">
        <v>1056</v>
      </c>
      <c r="D182" s="6" t="s">
        <v>154</v>
      </c>
      <c r="E182" s="29" t="s">
        <v>232</v>
      </c>
      <c r="F182" s="29" t="s">
        <v>35</v>
      </c>
      <c r="G182" s="29" t="s">
        <v>38</v>
      </c>
      <c r="H182" s="6" t="s">
        <v>1066</v>
      </c>
      <c r="I182" s="6" t="s">
        <v>1058</v>
      </c>
      <c r="J182" s="6" t="s">
        <v>1059</v>
      </c>
      <c r="K182" s="6" t="s">
        <v>1060</v>
      </c>
      <c r="L182" s="29" t="n">
        <v>4</v>
      </c>
      <c r="M182" s="6" t="s">
        <v>1061</v>
      </c>
      <c r="N182" s="6" t="s">
        <v>1062</v>
      </c>
      <c r="O182" s="6" t="s">
        <v>1063</v>
      </c>
      <c r="P182" s="6" t="s">
        <v>1064</v>
      </c>
      <c r="Q182" s="6"/>
      <c r="R182" s="6"/>
      <c r="S182" s="6"/>
      <c r="T182" s="6"/>
      <c r="U182" s="6"/>
      <c r="V182" s="6"/>
      <c r="W182" s="6"/>
      <c r="X182" s="6"/>
      <c r="Y182" s="6"/>
      <c r="Z182" s="6"/>
      <c r="AA182" s="6"/>
      <c r="AB182" s="6"/>
      <c r="AC182" s="6"/>
      <c r="AD182" s="30" t="s">
        <v>208</v>
      </c>
      <c r="AE182" s="30" t="s">
        <v>237</v>
      </c>
      <c r="AF182" s="31"/>
      <c r="AG182" s="32"/>
      <c r="AH182" s="31"/>
      <c r="AI182" s="32"/>
      <c r="AJ182" s="33" t="s">
        <v>127</v>
      </c>
      <c r="AK182" s="34"/>
      <c r="AL182" s="34"/>
      <c r="AM182" s="35"/>
      <c r="AN182" s="36" t="str">
        <f aca="false">IF(AD182&lt;&gt;"Y","Out of scope",IF(AF182="","Awaiting response",IF(AND(OR(AF182="Yes",AF182="Partial"),AG182=""),"No detail: treat as unanswered",IF(AND(AF182="Yes",AI182=""),"No evidence link",IF(AND(AJ182="Gap",OR(AL182="",AM182="")),"Gap needs owner and due date","OK")))))</f>
        <v>Awaiting response</v>
      </c>
    </row>
    <row r="183" customFormat="false" ht="68.65" hidden="false" customHeight="false" outlineLevel="0" collapsed="false">
      <c r="A183" s="28" t="s">
        <v>1067</v>
      </c>
      <c r="B183" s="6" t="s">
        <v>1055</v>
      </c>
      <c r="C183" s="6" t="s">
        <v>1056</v>
      </c>
      <c r="D183" s="6" t="s">
        <v>154</v>
      </c>
      <c r="E183" s="29" t="s">
        <v>232</v>
      </c>
      <c r="F183" s="29" t="s">
        <v>35</v>
      </c>
      <c r="G183" s="29" t="s">
        <v>38</v>
      </c>
      <c r="H183" s="6" t="s">
        <v>1068</v>
      </c>
      <c r="I183" s="6" t="s">
        <v>1058</v>
      </c>
      <c r="J183" s="6" t="s">
        <v>1059</v>
      </c>
      <c r="K183" s="6" t="s">
        <v>1060</v>
      </c>
      <c r="L183" s="29" t="n">
        <v>4</v>
      </c>
      <c r="M183" s="6" t="s">
        <v>1061</v>
      </c>
      <c r="N183" s="6" t="s">
        <v>1062</v>
      </c>
      <c r="O183" s="6" t="s">
        <v>1063</v>
      </c>
      <c r="P183" s="6" t="s">
        <v>1064</v>
      </c>
      <c r="Q183" s="6"/>
      <c r="R183" s="6"/>
      <c r="S183" s="6"/>
      <c r="T183" s="6"/>
      <c r="U183" s="6"/>
      <c r="V183" s="6"/>
      <c r="W183" s="6"/>
      <c r="X183" s="6"/>
      <c r="Y183" s="6"/>
      <c r="Z183" s="6"/>
      <c r="AA183" s="6"/>
      <c r="AB183" s="6"/>
      <c r="AC183" s="6"/>
      <c r="AD183" s="30" t="s">
        <v>208</v>
      </c>
      <c r="AE183" s="30" t="s">
        <v>237</v>
      </c>
      <c r="AF183" s="31"/>
      <c r="AG183" s="32"/>
      <c r="AH183" s="31"/>
      <c r="AI183" s="32"/>
      <c r="AJ183" s="33" t="s">
        <v>127</v>
      </c>
      <c r="AK183" s="34"/>
      <c r="AL183" s="34"/>
      <c r="AM183" s="35"/>
      <c r="AN183" s="36" t="str">
        <f aca="false">IF(AD183&lt;&gt;"Y","Out of scope",IF(AF183="","Awaiting response",IF(AND(OR(AF183="Yes",AF183="Partial"),AG183=""),"No detail: treat as unanswered",IF(AND(AF183="Yes",AI183=""),"No evidence link",IF(AND(AJ183="Gap",OR(AL183="",AM183="")),"Gap needs owner and due date","OK")))))</f>
        <v>Awaiting response</v>
      </c>
    </row>
    <row r="184" customFormat="false" ht="68.65" hidden="false" customHeight="false" outlineLevel="0" collapsed="false">
      <c r="A184" s="28" t="s">
        <v>1069</v>
      </c>
      <c r="B184" s="6" t="s">
        <v>1055</v>
      </c>
      <c r="C184" s="6" t="s">
        <v>1056</v>
      </c>
      <c r="D184" s="6" t="s">
        <v>154</v>
      </c>
      <c r="E184" s="29" t="s">
        <v>232</v>
      </c>
      <c r="F184" s="29" t="s">
        <v>35</v>
      </c>
      <c r="G184" s="29" t="s">
        <v>38</v>
      </c>
      <c r="H184" s="6" t="s">
        <v>1070</v>
      </c>
      <c r="I184" s="6" t="s">
        <v>1058</v>
      </c>
      <c r="J184" s="6" t="s">
        <v>1059</v>
      </c>
      <c r="K184" s="6" t="s">
        <v>1060</v>
      </c>
      <c r="L184" s="29" t="n">
        <v>4</v>
      </c>
      <c r="M184" s="6" t="s">
        <v>1061</v>
      </c>
      <c r="N184" s="6" t="s">
        <v>1062</v>
      </c>
      <c r="O184" s="6" t="s">
        <v>1063</v>
      </c>
      <c r="P184" s="6" t="s">
        <v>1064</v>
      </c>
      <c r="Q184" s="6"/>
      <c r="R184" s="6"/>
      <c r="S184" s="6"/>
      <c r="T184" s="6"/>
      <c r="U184" s="6"/>
      <c r="V184" s="6"/>
      <c r="W184" s="6"/>
      <c r="X184" s="6"/>
      <c r="Y184" s="6"/>
      <c r="Z184" s="6"/>
      <c r="AA184" s="6"/>
      <c r="AB184" s="6"/>
      <c r="AC184" s="6"/>
      <c r="AD184" s="30" t="s">
        <v>208</v>
      </c>
      <c r="AE184" s="30" t="s">
        <v>237</v>
      </c>
      <c r="AF184" s="31"/>
      <c r="AG184" s="32"/>
      <c r="AH184" s="31"/>
      <c r="AI184" s="32"/>
      <c r="AJ184" s="33" t="s">
        <v>127</v>
      </c>
      <c r="AK184" s="34"/>
      <c r="AL184" s="34"/>
      <c r="AM184" s="35"/>
      <c r="AN184" s="36" t="str">
        <f aca="false">IF(AD184&lt;&gt;"Y","Out of scope",IF(AF184="","Awaiting response",IF(AND(OR(AF184="Yes",AF184="Partial"),AG184=""),"No detail: treat as unanswered",IF(AND(AF184="Yes",AI184=""),"No evidence link",IF(AND(AJ184="Gap",OR(AL184="",AM184="")),"Gap needs owner and due date","OK")))))</f>
        <v>Awaiting response</v>
      </c>
    </row>
    <row r="185" customFormat="false" ht="68.65" hidden="false" customHeight="false" outlineLevel="0" collapsed="false">
      <c r="A185" s="28" t="s">
        <v>1071</v>
      </c>
      <c r="B185" s="6" t="s">
        <v>1055</v>
      </c>
      <c r="C185" s="6" t="s">
        <v>1056</v>
      </c>
      <c r="D185" s="6" t="s">
        <v>154</v>
      </c>
      <c r="E185" s="29" t="s">
        <v>232</v>
      </c>
      <c r="F185" s="29" t="s">
        <v>35</v>
      </c>
      <c r="G185" s="29" t="s">
        <v>38</v>
      </c>
      <c r="H185" s="6" t="s">
        <v>1072</v>
      </c>
      <c r="I185" s="6" t="s">
        <v>1058</v>
      </c>
      <c r="J185" s="6" t="s">
        <v>1059</v>
      </c>
      <c r="K185" s="6" t="s">
        <v>1060</v>
      </c>
      <c r="L185" s="29" t="n">
        <v>4</v>
      </c>
      <c r="M185" s="6" t="s">
        <v>1061</v>
      </c>
      <c r="N185" s="6" t="s">
        <v>1062</v>
      </c>
      <c r="O185" s="6" t="s">
        <v>1063</v>
      </c>
      <c r="P185" s="6" t="s">
        <v>1064</v>
      </c>
      <c r="Q185" s="6"/>
      <c r="R185" s="6"/>
      <c r="S185" s="6"/>
      <c r="T185" s="6"/>
      <c r="U185" s="6"/>
      <c r="V185" s="6"/>
      <c r="W185" s="6"/>
      <c r="X185" s="6"/>
      <c r="Y185" s="6"/>
      <c r="Z185" s="6"/>
      <c r="AA185" s="6"/>
      <c r="AB185" s="6"/>
      <c r="AC185" s="6"/>
      <c r="AD185" s="30" t="s">
        <v>208</v>
      </c>
      <c r="AE185" s="30" t="s">
        <v>237</v>
      </c>
      <c r="AF185" s="31"/>
      <c r="AG185" s="32"/>
      <c r="AH185" s="31"/>
      <c r="AI185" s="32"/>
      <c r="AJ185" s="33" t="s">
        <v>127</v>
      </c>
      <c r="AK185" s="34"/>
      <c r="AL185" s="34"/>
      <c r="AM185" s="35"/>
      <c r="AN185" s="36" t="str">
        <f aca="false">IF(AD185&lt;&gt;"Y","Out of scope",IF(AF185="","Awaiting response",IF(AND(OR(AF185="Yes",AF185="Partial"),AG185=""),"No detail: treat as unanswered",IF(AND(AF185="Yes",AI185=""),"No evidence link",IF(AND(AJ185="Gap",OR(AL185="",AM185="")),"Gap needs owner and due date","OK")))))</f>
        <v>Awaiting response</v>
      </c>
    </row>
    <row r="186" customFormat="false" ht="46.25" hidden="false" customHeight="false" outlineLevel="0" collapsed="false">
      <c r="A186" s="28" t="s">
        <v>1073</v>
      </c>
      <c r="B186" s="6" t="s">
        <v>1074</v>
      </c>
      <c r="C186" s="6" t="s">
        <v>1075</v>
      </c>
      <c r="D186" s="6" t="s">
        <v>154</v>
      </c>
      <c r="E186" s="29" t="s">
        <v>232</v>
      </c>
      <c r="F186" s="29" t="s">
        <v>31</v>
      </c>
      <c r="G186" s="29" t="s">
        <v>38</v>
      </c>
      <c r="H186" s="6" t="s">
        <v>1076</v>
      </c>
      <c r="I186" s="6" t="s">
        <v>1077</v>
      </c>
      <c r="J186" s="6" t="s">
        <v>1078</v>
      </c>
      <c r="K186" s="6" t="s">
        <v>1079</v>
      </c>
      <c r="L186" s="29" t="n">
        <v>3</v>
      </c>
      <c r="M186" s="6" t="s">
        <v>1080</v>
      </c>
      <c r="N186" s="6" t="s">
        <v>1081</v>
      </c>
      <c r="O186" s="6" t="s">
        <v>1082</v>
      </c>
      <c r="P186" s="6" t="s">
        <v>1083</v>
      </c>
      <c r="Q186" s="6"/>
      <c r="R186" s="6"/>
      <c r="S186" s="6"/>
      <c r="T186" s="6"/>
      <c r="U186" s="6"/>
      <c r="V186" s="6" t="s">
        <v>1084</v>
      </c>
      <c r="W186" s="6"/>
      <c r="X186" s="6"/>
      <c r="Y186" s="6"/>
      <c r="Z186" s="6"/>
      <c r="AA186" s="6"/>
      <c r="AB186" s="6"/>
      <c r="AC186" s="6" t="s">
        <v>1085</v>
      </c>
      <c r="AD186" s="30" t="s">
        <v>208</v>
      </c>
      <c r="AE186" s="30" t="s">
        <v>237</v>
      </c>
      <c r="AF186" s="31"/>
      <c r="AG186" s="32"/>
      <c r="AH186" s="31"/>
      <c r="AI186" s="32"/>
      <c r="AJ186" s="33" t="s">
        <v>127</v>
      </c>
      <c r="AK186" s="34"/>
      <c r="AL186" s="34"/>
      <c r="AM186" s="35"/>
      <c r="AN186" s="36" t="str">
        <f aca="false">IF(AD186&lt;&gt;"Y","Out of scope",IF(AF186="","Awaiting response",IF(AND(OR(AF186="Yes",AF186="Partial"),AG186=""),"No detail: treat as unanswered",IF(AND(AF186="Yes",AI186=""),"No evidence link",IF(AND(AJ186="Gap",OR(AL186="",AM186="")),"Gap needs owner and due date","OK")))))</f>
        <v>Awaiting response</v>
      </c>
    </row>
    <row r="187" customFormat="false" ht="46.25" hidden="false" customHeight="false" outlineLevel="0" collapsed="false">
      <c r="A187" s="28" t="s">
        <v>1086</v>
      </c>
      <c r="B187" s="6" t="s">
        <v>1074</v>
      </c>
      <c r="C187" s="6" t="s">
        <v>1075</v>
      </c>
      <c r="D187" s="6" t="s">
        <v>154</v>
      </c>
      <c r="E187" s="29" t="s">
        <v>232</v>
      </c>
      <c r="F187" s="29" t="s">
        <v>31</v>
      </c>
      <c r="G187" s="29" t="s">
        <v>38</v>
      </c>
      <c r="H187" s="6" t="s">
        <v>1087</v>
      </c>
      <c r="I187" s="6" t="s">
        <v>1077</v>
      </c>
      <c r="J187" s="6" t="s">
        <v>1078</v>
      </c>
      <c r="K187" s="6" t="s">
        <v>1079</v>
      </c>
      <c r="L187" s="29" t="n">
        <v>3</v>
      </c>
      <c r="M187" s="6" t="s">
        <v>1080</v>
      </c>
      <c r="N187" s="6" t="s">
        <v>1081</v>
      </c>
      <c r="O187" s="6" t="s">
        <v>1082</v>
      </c>
      <c r="P187" s="6" t="s">
        <v>1083</v>
      </c>
      <c r="Q187" s="6"/>
      <c r="R187" s="6"/>
      <c r="S187" s="6"/>
      <c r="T187" s="6"/>
      <c r="U187" s="6"/>
      <c r="V187" s="6" t="s">
        <v>1084</v>
      </c>
      <c r="W187" s="6"/>
      <c r="X187" s="6"/>
      <c r="Y187" s="6"/>
      <c r="Z187" s="6"/>
      <c r="AA187" s="6"/>
      <c r="AB187" s="6"/>
      <c r="AC187" s="6" t="s">
        <v>1085</v>
      </c>
      <c r="AD187" s="30" t="s">
        <v>208</v>
      </c>
      <c r="AE187" s="30" t="s">
        <v>237</v>
      </c>
      <c r="AF187" s="31"/>
      <c r="AG187" s="32"/>
      <c r="AH187" s="31"/>
      <c r="AI187" s="32"/>
      <c r="AJ187" s="33" t="s">
        <v>127</v>
      </c>
      <c r="AK187" s="34"/>
      <c r="AL187" s="34"/>
      <c r="AM187" s="35"/>
      <c r="AN187" s="36" t="str">
        <f aca="false">IF(AD187&lt;&gt;"Y","Out of scope",IF(AF187="","Awaiting response",IF(AND(OR(AF187="Yes",AF187="Partial"),AG187=""),"No detail: treat as unanswered",IF(AND(AF187="Yes",AI187=""),"No evidence link",IF(AND(AJ187="Gap",OR(AL187="",AM187="")),"Gap needs owner and due date","OK")))))</f>
        <v>Awaiting response</v>
      </c>
    </row>
    <row r="188" customFormat="false" ht="46.25" hidden="false" customHeight="false" outlineLevel="0" collapsed="false">
      <c r="A188" s="28" t="s">
        <v>1088</v>
      </c>
      <c r="B188" s="6" t="s">
        <v>1074</v>
      </c>
      <c r="C188" s="6" t="s">
        <v>1075</v>
      </c>
      <c r="D188" s="6" t="s">
        <v>154</v>
      </c>
      <c r="E188" s="29" t="s">
        <v>232</v>
      </c>
      <c r="F188" s="29" t="s">
        <v>31</v>
      </c>
      <c r="G188" s="29" t="s">
        <v>38</v>
      </c>
      <c r="H188" s="6" t="s">
        <v>1089</v>
      </c>
      <c r="I188" s="6" t="s">
        <v>1077</v>
      </c>
      <c r="J188" s="6" t="s">
        <v>1078</v>
      </c>
      <c r="K188" s="6" t="s">
        <v>1079</v>
      </c>
      <c r="L188" s="29" t="n">
        <v>3</v>
      </c>
      <c r="M188" s="6" t="s">
        <v>1080</v>
      </c>
      <c r="N188" s="6" t="s">
        <v>1081</v>
      </c>
      <c r="O188" s="6" t="s">
        <v>1082</v>
      </c>
      <c r="P188" s="6" t="s">
        <v>1083</v>
      </c>
      <c r="Q188" s="6"/>
      <c r="R188" s="6"/>
      <c r="S188" s="6"/>
      <c r="T188" s="6"/>
      <c r="U188" s="6"/>
      <c r="V188" s="6" t="s">
        <v>1084</v>
      </c>
      <c r="W188" s="6"/>
      <c r="X188" s="6"/>
      <c r="Y188" s="6"/>
      <c r="Z188" s="6"/>
      <c r="AA188" s="6"/>
      <c r="AB188" s="6"/>
      <c r="AC188" s="6" t="s">
        <v>1085</v>
      </c>
      <c r="AD188" s="30" t="s">
        <v>208</v>
      </c>
      <c r="AE188" s="30" t="s">
        <v>237</v>
      </c>
      <c r="AF188" s="31"/>
      <c r="AG188" s="32"/>
      <c r="AH188" s="31"/>
      <c r="AI188" s="32"/>
      <c r="AJ188" s="33" t="s">
        <v>127</v>
      </c>
      <c r="AK188" s="34"/>
      <c r="AL188" s="34"/>
      <c r="AM188" s="35"/>
      <c r="AN188" s="36" t="str">
        <f aca="false">IF(AD188&lt;&gt;"Y","Out of scope",IF(AF188="","Awaiting response",IF(AND(OR(AF188="Yes",AF188="Partial"),AG188=""),"No detail: treat as unanswered",IF(AND(AF188="Yes",AI188=""),"No evidence link",IF(AND(AJ188="Gap",OR(AL188="",AM188="")),"Gap needs owner and due date","OK")))))</f>
        <v>Awaiting response</v>
      </c>
    </row>
    <row r="189" customFormat="false" ht="46.25" hidden="false" customHeight="false" outlineLevel="0" collapsed="false">
      <c r="A189" s="28" t="s">
        <v>1090</v>
      </c>
      <c r="B189" s="6" t="s">
        <v>1074</v>
      </c>
      <c r="C189" s="6" t="s">
        <v>1075</v>
      </c>
      <c r="D189" s="6" t="s">
        <v>154</v>
      </c>
      <c r="E189" s="29" t="s">
        <v>232</v>
      </c>
      <c r="F189" s="29" t="s">
        <v>31</v>
      </c>
      <c r="G189" s="29" t="s">
        <v>38</v>
      </c>
      <c r="H189" s="6" t="s">
        <v>1091</v>
      </c>
      <c r="I189" s="6" t="s">
        <v>1077</v>
      </c>
      <c r="J189" s="6" t="s">
        <v>1078</v>
      </c>
      <c r="K189" s="6" t="s">
        <v>1079</v>
      </c>
      <c r="L189" s="29" t="n">
        <v>3</v>
      </c>
      <c r="M189" s="6" t="s">
        <v>1080</v>
      </c>
      <c r="N189" s="6" t="s">
        <v>1081</v>
      </c>
      <c r="O189" s="6" t="s">
        <v>1082</v>
      </c>
      <c r="P189" s="6" t="s">
        <v>1083</v>
      </c>
      <c r="Q189" s="6"/>
      <c r="R189" s="6"/>
      <c r="S189" s="6"/>
      <c r="T189" s="6"/>
      <c r="U189" s="6"/>
      <c r="V189" s="6" t="s">
        <v>1084</v>
      </c>
      <c r="W189" s="6"/>
      <c r="X189" s="6"/>
      <c r="Y189" s="6"/>
      <c r="Z189" s="6"/>
      <c r="AA189" s="6"/>
      <c r="AB189" s="6"/>
      <c r="AC189" s="6" t="s">
        <v>1085</v>
      </c>
      <c r="AD189" s="30" t="s">
        <v>208</v>
      </c>
      <c r="AE189" s="30" t="s">
        <v>237</v>
      </c>
      <c r="AF189" s="31"/>
      <c r="AG189" s="32"/>
      <c r="AH189" s="31"/>
      <c r="AI189" s="32"/>
      <c r="AJ189" s="33" t="s">
        <v>127</v>
      </c>
      <c r="AK189" s="34"/>
      <c r="AL189" s="34"/>
      <c r="AM189" s="35"/>
      <c r="AN189" s="36" t="str">
        <f aca="false">IF(AD189&lt;&gt;"Y","Out of scope",IF(AF189="","Awaiting response",IF(AND(OR(AF189="Yes",AF189="Partial"),AG189=""),"No detail: treat as unanswered",IF(AND(AF189="Yes",AI189=""),"No evidence link",IF(AND(AJ189="Gap",OR(AL189="",AM189="")),"Gap needs owner and due date","OK")))))</f>
        <v>Awaiting response</v>
      </c>
    </row>
    <row r="190" customFormat="false" ht="79.85" hidden="false" customHeight="false" outlineLevel="0" collapsed="false">
      <c r="A190" s="28" t="s">
        <v>1092</v>
      </c>
      <c r="B190" s="6" t="s">
        <v>1093</v>
      </c>
      <c r="C190" s="6" t="s">
        <v>1094</v>
      </c>
      <c r="D190" s="6" t="s">
        <v>154</v>
      </c>
      <c r="E190" s="29" t="s">
        <v>232</v>
      </c>
      <c r="F190" s="29" t="s">
        <v>29</v>
      </c>
      <c r="G190" s="29" t="s">
        <v>38</v>
      </c>
      <c r="H190" s="6" t="s">
        <v>1095</v>
      </c>
      <c r="I190" s="6" t="s">
        <v>1096</v>
      </c>
      <c r="J190" s="6" t="s">
        <v>1097</v>
      </c>
      <c r="K190" s="6" t="s">
        <v>1098</v>
      </c>
      <c r="L190" s="29" t="n">
        <v>4</v>
      </c>
      <c r="M190" s="6" t="s">
        <v>634</v>
      </c>
      <c r="N190" s="6" t="s">
        <v>635</v>
      </c>
      <c r="O190" s="6" t="s">
        <v>636</v>
      </c>
      <c r="P190" s="6" t="s">
        <v>1099</v>
      </c>
      <c r="Q190" s="6"/>
      <c r="R190" s="6"/>
      <c r="S190" s="6"/>
      <c r="T190" s="6"/>
      <c r="U190" s="6" t="s">
        <v>681</v>
      </c>
      <c r="V190" s="6" t="s">
        <v>1100</v>
      </c>
      <c r="W190" s="6"/>
      <c r="X190" s="6"/>
      <c r="Y190" s="6"/>
      <c r="Z190" s="6"/>
      <c r="AA190" s="6"/>
      <c r="AB190" s="6"/>
      <c r="AC190" s="6" t="s">
        <v>1101</v>
      </c>
      <c r="AD190" s="30" t="s">
        <v>208</v>
      </c>
      <c r="AE190" s="30" t="s">
        <v>237</v>
      </c>
      <c r="AF190" s="31"/>
      <c r="AG190" s="32"/>
      <c r="AH190" s="31"/>
      <c r="AI190" s="32"/>
      <c r="AJ190" s="33" t="s">
        <v>127</v>
      </c>
      <c r="AK190" s="34"/>
      <c r="AL190" s="34"/>
      <c r="AM190" s="35"/>
      <c r="AN190" s="36" t="str">
        <f aca="false">IF(AD190&lt;&gt;"Y","Out of scope",IF(AF190="","Awaiting response",IF(AND(OR(AF190="Yes",AF190="Partial"),AG190=""),"No detail: treat as unanswered",IF(AND(AF190="Yes",AI190=""),"No evidence link",IF(AND(AJ190="Gap",OR(AL190="",AM190="")),"Gap needs owner and due date","OK")))))</f>
        <v>Awaiting response</v>
      </c>
    </row>
    <row r="191" customFormat="false" ht="79.85" hidden="false" customHeight="false" outlineLevel="0" collapsed="false">
      <c r="A191" s="28" t="s">
        <v>1102</v>
      </c>
      <c r="B191" s="6" t="s">
        <v>1093</v>
      </c>
      <c r="C191" s="6" t="s">
        <v>1094</v>
      </c>
      <c r="D191" s="6" t="s">
        <v>154</v>
      </c>
      <c r="E191" s="29" t="s">
        <v>232</v>
      </c>
      <c r="F191" s="29" t="s">
        <v>29</v>
      </c>
      <c r="G191" s="29" t="s">
        <v>38</v>
      </c>
      <c r="H191" s="6" t="s">
        <v>1103</v>
      </c>
      <c r="I191" s="6" t="s">
        <v>1096</v>
      </c>
      <c r="J191" s="6" t="s">
        <v>1097</v>
      </c>
      <c r="K191" s="6" t="s">
        <v>1098</v>
      </c>
      <c r="L191" s="29" t="n">
        <v>4</v>
      </c>
      <c r="M191" s="6" t="s">
        <v>634</v>
      </c>
      <c r="N191" s="6" t="s">
        <v>635</v>
      </c>
      <c r="O191" s="6" t="s">
        <v>636</v>
      </c>
      <c r="P191" s="6" t="s">
        <v>1099</v>
      </c>
      <c r="Q191" s="6"/>
      <c r="R191" s="6"/>
      <c r="S191" s="6"/>
      <c r="T191" s="6"/>
      <c r="U191" s="6" t="s">
        <v>681</v>
      </c>
      <c r="V191" s="6" t="s">
        <v>1100</v>
      </c>
      <c r="W191" s="6"/>
      <c r="X191" s="6"/>
      <c r="Y191" s="6"/>
      <c r="Z191" s="6"/>
      <c r="AA191" s="6"/>
      <c r="AB191" s="6"/>
      <c r="AC191" s="6" t="s">
        <v>1101</v>
      </c>
      <c r="AD191" s="30" t="s">
        <v>208</v>
      </c>
      <c r="AE191" s="30" t="s">
        <v>237</v>
      </c>
      <c r="AF191" s="31"/>
      <c r="AG191" s="32"/>
      <c r="AH191" s="31"/>
      <c r="AI191" s="32"/>
      <c r="AJ191" s="33" t="s">
        <v>127</v>
      </c>
      <c r="AK191" s="34"/>
      <c r="AL191" s="34"/>
      <c r="AM191" s="35"/>
      <c r="AN191" s="36" t="str">
        <f aca="false">IF(AD191&lt;&gt;"Y","Out of scope",IF(AF191="","Awaiting response",IF(AND(OR(AF191="Yes",AF191="Partial"),AG191=""),"No detail: treat as unanswered",IF(AND(AF191="Yes",AI191=""),"No evidence link",IF(AND(AJ191="Gap",OR(AL191="",AM191="")),"Gap needs owner and due date","OK")))))</f>
        <v>Awaiting response</v>
      </c>
    </row>
    <row r="192" customFormat="false" ht="79.85" hidden="false" customHeight="false" outlineLevel="0" collapsed="false">
      <c r="A192" s="28" t="s">
        <v>1104</v>
      </c>
      <c r="B192" s="6" t="s">
        <v>1093</v>
      </c>
      <c r="C192" s="6" t="s">
        <v>1094</v>
      </c>
      <c r="D192" s="6" t="s">
        <v>154</v>
      </c>
      <c r="E192" s="29" t="s">
        <v>232</v>
      </c>
      <c r="F192" s="29" t="s">
        <v>29</v>
      </c>
      <c r="G192" s="29" t="s">
        <v>38</v>
      </c>
      <c r="H192" s="6" t="s">
        <v>1105</v>
      </c>
      <c r="I192" s="6" t="s">
        <v>1096</v>
      </c>
      <c r="J192" s="6" t="s">
        <v>1097</v>
      </c>
      <c r="K192" s="6" t="s">
        <v>1098</v>
      </c>
      <c r="L192" s="29" t="n">
        <v>4</v>
      </c>
      <c r="M192" s="6" t="s">
        <v>634</v>
      </c>
      <c r="N192" s="6" t="s">
        <v>635</v>
      </c>
      <c r="O192" s="6" t="s">
        <v>636</v>
      </c>
      <c r="P192" s="6" t="s">
        <v>1099</v>
      </c>
      <c r="Q192" s="6"/>
      <c r="R192" s="6"/>
      <c r="S192" s="6"/>
      <c r="T192" s="6"/>
      <c r="U192" s="6" t="s">
        <v>681</v>
      </c>
      <c r="V192" s="6" t="s">
        <v>1100</v>
      </c>
      <c r="W192" s="6"/>
      <c r="X192" s="6"/>
      <c r="Y192" s="6"/>
      <c r="Z192" s="6"/>
      <c r="AA192" s="6"/>
      <c r="AB192" s="6"/>
      <c r="AC192" s="6" t="s">
        <v>1101</v>
      </c>
      <c r="AD192" s="30" t="s">
        <v>208</v>
      </c>
      <c r="AE192" s="30" t="s">
        <v>237</v>
      </c>
      <c r="AF192" s="31"/>
      <c r="AG192" s="32"/>
      <c r="AH192" s="31"/>
      <c r="AI192" s="32"/>
      <c r="AJ192" s="33" t="s">
        <v>127</v>
      </c>
      <c r="AK192" s="34"/>
      <c r="AL192" s="34"/>
      <c r="AM192" s="35"/>
      <c r="AN192" s="36" t="str">
        <f aca="false">IF(AD192&lt;&gt;"Y","Out of scope",IF(AF192="","Awaiting response",IF(AND(OR(AF192="Yes",AF192="Partial"),AG192=""),"No detail: treat as unanswered",IF(AND(AF192="Yes",AI192=""),"No evidence link",IF(AND(AJ192="Gap",OR(AL192="",AM192="")),"Gap needs owner and due date","OK")))))</f>
        <v>Awaiting response</v>
      </c>
    </row>
    <row r="193" customFormat="false" ht="79.85" hidden="false" customHeight="false" outlineLevel="0" collapsed="false">
      <c r="A193" s="28" t="s">
        <v>1106</v>
      </c>
      <c r="B193" s="6" t="s">
        <v>1093</v>
      </c>
      <c r="C193" s="6" t="s">
        <v>1094</v>
      </c>
      <c r="D193" s="6" t="s">
        <v>154</v>
      </c>
      <c r="E193" s="29" t="s">
        <v>232</v>
      </c>
      <c r="F193" s="29" t="s">
        <v>29</v>
      </c>
      <c r="G193" s="29" t="s">
        <v>38</v>
      </c>
      <c r="H193" s="6" t="s">
        <v>1107</v>
      </c>
      <c r="I193" s="6" t="s">
        <v>1096</v>
      </c>
      <c r="J193" s="6" t="s">
        <v>1097</v>
      </c>
      <c r="K193" s="6" t="s">
        <v>1098</v>
      </c>
      <c r="L193" s="29" t="n">
        <v>4</v>
      </c>
      <c r="M193" s="6" t="s">
        <v>634</v>
      </c>
      <c r="N193" s="6" t="s">
        <v>635</v>
      </c>
      <c r="O193" s="6" t="s">
        <v>636</v>
      </c>
      <c r="P193" s="6" t="s">
        <v>1099</v>
      </c>
      <c r="Q193" s="6"/>
      <c r="R193" s="6"/>
      <c r="S193" s="6"/>
      <c r="T193" s="6"/>
      <c r="U193" s="6" t="s">
        <v>681</v>
      </c>
      <c r="V193" s="6" t="s">
        <v>1100</v>
      </c>
      <c r="W193" s="6"/>
      <c r="X193" s="6"/>
      <c r="Y193" s="6"/>
      <c r="Z193" s="6"/>
      <c r="AA193" s="6"/>
      <c r="AB193" s="6"/>
      <c r="AC193" s="6" t="s">
        <v>1101</v>
      </c>
      <c r="AD193" s="30" t="s">
        <v>208</v>
      </c>
      <c r="AE193" s="30" t="s">
        <v>237</v>
      </c>
      <c r="AF193" s="31"/>
      <c r="AG193" s="32"/>
      <c r="AH193" s="31"/>
      <c r="AI193" s="32"/>
      <c r="AJ193" s="33" t="s">
        <v>127</v>
      </c>
      <c r="AK193" s="34"/>
      <c r="AL193" s="34"/>
      <c r="AM193" s="35"/>
      <c r="AN193" s="36" t="str">
        <f aca="false">IF(AD193&lt;&gt;"Y","Out of scope",IF(AF193="","Awaiting response",IF(AND(OR(AF193="Yes",AF193="Partial"),AG193=""),"No detail: treat as unanswered",IF(AND(AF193="Yes",AI193=""),"No evidence link",IF(AND(AJ193="Gap",OR(AL193="",AM193="")),"Gap needs owner and due date","OK")))))</f>
        <v>Awaiting response</v>
      </c>
    </row>
    <row r="194" customFormat="false" ht="79.85" hidden="false" customHeight="false" outlineLevel="0" collapsed="false">
      <c r="A194" s="28" t="s">
        <v>1108</v>
      </c>
      <c r="B194" s="6" t="s">
        <v>1093</v>
      </c>
      <c r="C194" s="6" t="s">
        <v>1094</v>
      </c>
      <c r="D194" s="6" t="s">
        <v>154</v>
      </c>
      <c r="E194" s="29" t="s">
        <v>232</v>
      </c>
      <c r="F194" s="29" t="s">
        <v>29</v>
      </c>
      <c r="G194" s="29" t="s">
        <v>38</v>
      </c>
      <c r="H194" s="6" t="s">
        <v>1109</v>
      </c>
      <c r="I194" s="6" t="s">
        <v>1096</v>
      </c>
      <c r="J194" s="6" t="s">
        <v>1097</v>
      </c>
      <c r="K194" s="6" t="s">
        <v>1098</v>
      </c>
      <c r="L194" s="29" t="n">
        <v>4</v>
      </c>
      <c r="M194" s="6" t="s">
        <v>634</v>
      </c>
      <c r="N194" s="6" t="s">
        <v>635</v>
      </c>
      <c r="O194" s="6" t="s">
        <v>636</v>
      </c>
      <c r="P194" s="6" t="s">
        <v>1099</v>
      </c>
      <c r="Q194" s="6"/>
      <c r="R194" s="6"/>
      <c r="S194" s="6"/>
      <c r="T194" s="6"/>
      <c r="U194" s="6" t="s">
        <v>681</v>
      </c>
      <c r="V194" s="6" t="s">
        <v>1100</v>
      </c>
      <c r="W194" s="6"/>
      <c r="X194" s="6"/>
      <c r="Y194" s="6"/>
      <c r="Z194" s="6"/>
      <c r="AA194" s="6"/>
      <c r="AB194" s="6"/>
      <c r="AC194" s="6" t="s">
        <v>1101</v>
      </c>
      <c r="AD194" s="30" t="s">
        <v>208</v>
      </c>
      <c r="AE194" s="30" t="s">
        <v>237</v>
      </c>
      <c r="AF194" s="31"/>
      <c r="AG194" s="32"/>
      <c r="AH194" s="31"/>
      <c r="AI194" s="32"/>
      <c r="AJ194" s="33" t="s">
        <v>127</v>
      </c>
      <c r="AK194" s="34"/>
      <c r="AL194" s="34"/>
      <c r="AM194" s="35"/>
      <c r="AN194" s="36" t="str">
        <f aca="false">IF(AD194&lt;&gt;"Y","Out of scope",IF(AF194="","Awaiting response",IF(AND(OR(AF194="Yes",AF194="Partial"),AG194=""),"No detail: treat as unanswered",IF(AND(AF194="Yes",AI194=""),"No evidence link",IF(AND(AJ194="Gap",OR(AL194="",AM194="")),"Gap needs owner and due date","OK")))))</f>
        <v>Awaiting response</v>
      </c>
    </row>
    <row r="195" customFormat="false" ht="79.85" hidden="false" customHeight="false" outlineLevel="0" collapsed="false">
      <c r="A195" s="28" t="s">
        <v>1110</v>
      </c>
      <c r="B195" s="6" t="s">
        <v>1093</v>
      </c>
      <c r="C195" s="6" t="s">
        <v>1094</v>
      </c>
      <c r="D195" s="6" t="s">
        <v>154</v>
      </c>
      <c r="E195" s="29" t="s">
        <v>232</v>
      </c>
      <c r="F195" s="29" t="s">
        <v>29</v>
      </c>
      <c r="G195" s="29" t="s">
        <v>38</v>
      </c>
      <c r="H195" s="6" t="s">
        <v>1111</v>
      </c>
      <c r="I195" s="6" t="s">
        <v>1096</v>
      </c>
      <c r="J195" s="6" t="s">
        <v>1097</v>
      </c>
      <c r="K195" s="6" t="s">
        <v>1098</v>
      </c>
      <c r="L195" s="29" t="n">
        <v>4</v>
      </c>
      <c r="M195" s="6" t="s">
        <v>634</v>
      </c>
      <c r="N195" s="6" t="s">
        <v>635</v>
      </c>
      <c r="O195" s="6" t="s">
        <v>636</v>
      </c>
      <c r="P195" s="6" t="s">
        <v>1099</v>
      </c>
      <c r="Q195" s="6"/>
      <c r="R195" s="6"/>
      <c r="S195" s="6"/>
      <c r="T195" s="6"/>
      <c r="U195" s="6" t="s">
        <v>681</v>
      </c>
      <c r="V195" s="6" t="s">
        <v>1100</v>
      </c>
      <c r="W195" s="6"/>
      <c r="X195" s="6"/>
      <c r="Y195" s="6"/>
      <c r="Z195" s="6"/>
      <c r="AA195" s="6"/>
      <c r="AB195" s="6"/>
      <c r="AC195" s="6" t="s">
        <v>1101</v>
      </c>
      <c r="AD195" s="30" t="s">
        <v>208</v>
      </c>
      <c r="AE195" s="30" t="s">
        <v>237</v>
      </c>
      <c r="AF195" s="31"/>
      <c r="AG195" s="32"/>
      <c r="AH195" s="31"/>
      <c r="AI195" s="32"/>
      <c r="AJ195" s="33" t="s">
        <v>127</v>
      </c>
      <c r="AK195" s="34"/>
      <c r="AL195" s="34"/>
      <c r="AM195" s="35"/>
      <c r="AN195" s="36" t="str">
        <f aca="false">IF(AD195&lt;&gt;"Y","Out of scope",IF(AF195="","Awaiting response",IF(AND(OR(AF195="Yes",AF195="Partial"),AG195=""),"No detail: treat as unanswered",IF(AND(AF195="Yes",AI195=""),"No evidence link",IF(AND(AJ195="Gap",OR(AL195="",AM195="")),"Gap needs owner and due date","OK")))))</f>
        <v>Awaiting response</v>
      </c>
    </row>
    <row r="196" customFormat="false" ht="79.85" hidden="false" customHeight="false" outlineLevel="0" collapsed="false">
      <c r="A196" s="28" t="s">
        <v>1112</v>
      </c>
      <c r="B196" s="6" t="s">
        <v>1093</v>
      </c>
      <c r="C196" s="6" t="s">
        <v>1094</v>
      </c>
      <c r="D196" s="6" t="s">
        <v>154</v>
      </c>
      <c r="E196" s="29" t="s">
        <v>232</v>
      </c>
      <c r="F196" s="29" t="s">
        <v>29</v>
      </c>
      <c r="G196" s="29" t="s">
        <v>38</v>
      </c>
      <c r="H196" s="6" t="s">
        <v>1113</v>
      </c>
      <c r="I196" s="6" t="s">
        <v>1096</v>
      </c>
      <c r="J196" s="6" t="s">
        <v>1097</v>
      </c>
      <c r="K196" s="6" t="s">
        <v>1098</v>
      </c>
      <c r="L196" s="29" t="n">
        <v>4</v>
      </c>
      <c r="M196" s="6" t="s">
        <v>634</v>
      </c>
      <c r="N196" s="6" t="s">
        <v>635</v>
      </c>
      <c r="O196" s="6" t="s">
        <v>636</v>
      </c>
      <c r="P196" s="6" t="s">
        <v>1099</v>
      </c>
      <c r="Q196" s="6"/>
      <c r="R196" s="6"/>
      <c r="S196" s="6"/>
      <c r="T196" s="6"/>
      <c r="U196" s="6" t="s">
        <v>681</v>
      </c>
      <c r="V196" s="6" t="s">
        <v>1100</v>
      </c>
      <c r="W196" s="6"/>
      <c r="X196" s="6"/>
      <c r="Y196" s="6"/>
      <c r="Z196" s="6"/>
      <c r="AA196" s="6"/>
      <c r="AB196" s="6"/>
      <c r="AC196" s="6" t="s">
        <v>1101</v>
      </c>
      <c r="AD196" s="30" t="s">
        <v>208</v>
      </c>
      <c r="AE196" s="30" t="s">
        <v>237</v>
      </c>
      <c r="AF196" s="31"/>
      <c r="AG196" s="32"/>
      <c r="AH196" s="31"/>
      <c r="AI196" s="32"/>
      <c r="AJ196" s="33" t="s">
        <v>127</v>
      </c>
      <c r="AK196" s="34"/>
      <c r="AL196" s="34"/>
      <c r="AM196" s="35"/>
      <c r="AN196" s="36" t="str">
        <f aca="false">IF(AD196&lt;&gt;"Y","Out of scope",IF(AF196="","Awaiting response",IF(AND(OR(AF196="Yes",AF196="Partial"),AG196=""),"No detail: treat as unanswered",IF(AND(AF196="Yes",AI196=""),"No evidence link",IF(AND(AJ196="Gap",OR(AL196="",AM196="")),"Gap needs owner and due date","OK")))))</f>
        <v>Awaiting response</v>
      </c>
    </row>
    <row r="197" customFormat="false" ht="79.85" hidden="false" customHeight="false" outlineLevel="0" collapsed="false">
      <c r="A197" s="28" t="s">
        <v>1114</v>
      </c>
      <c r="B197" s="6" t="s">
        <v>1093</v>
      </c>
      <c r="C197" s="6" t="s">
        <v>1094</v>
      </c>
      <c r="D197" s="6" t="s">
        <v>154</v>
      </c>
      <c r="E197" s="29" t="s">
        <v>232</v>
      </c>
      <c r="F197" s="29" t="s">
        <v>29</v>
      </c>
      <c r="G197" s="29" t="s">
        <v>38</v>
      </c>
      <c r="H197" s="6" t="s">
        <v>1115</v>
      </c>
      <c r="I197" s="6" t="s">
        <v>1096</v>
      </c>
      <c r="J197" s="6" t="s">
        <v>1097</v>
      </c>
      <c r="K197" s="6" t="s">
        <v>1098</v>
      </c>
      <c r="L197" s="29" t="n">
        <v>4</v>
      </c>
      <c r="M197" s="6" t="s">
        <v>634</v>
      </c>
      <c r="N197" s="6" t="s">
        <v>635</v>
      </c>
      <c r="O197" s="6" t="s">
        <v>636</v>
      </c>
      <c r="P197" s="6" t="s">
        <v>1099</v>
      </c>
      <c r="Q197" s="6"/>
      <c r="R197" s="6"/>
      <c r="S197" s="6"/>
      <c r="T197" s="6"/>
      <c r="U197" s="6" t="s">
        <v>681</v>
      </c>
      <c r="V197" s="6" t="s">
        <v>1100</v>
      </c>
      <c r="W197" s="6"/>
      <c r="X197" s="6"/>
      <c r="Y197" s="6"/>
      <c r="Z197" s="6"/>
      <c r="AA197" s="6"/>
      <c r="AB197" s="6"/>
      <c r="AC197" s="6" t="s">
        <v>1101</v>
      </c>
      <c r="AD197" s="30" t="s">
        <v>208</v>
      </c>
      <c r="AE197" s="30" t="s">
        <v>237</v>
      </c>
      <c r="AF197" s="31"/>
      <c r="AG197" s="32"/>
      <c r="AH197" s="31"/>
      <c r="AI197" s="32"/>
      <c r="AJ197" s="33" t="s">
        <v>127</v>
      </c>
      <c r="AK197" s="34"/>
      <c r="AL197" s="34"/>
      <c r="AM197" s="35"/>
      <c r="AN197" s="36" t="str">
        <f aca="false">IF(AD197&lt;&gt;"Y","Out of scope",IF(AF197="","Awaiting response",IF(AND(OR(AF197="Yes",AF197="Partial"),AG197=""),"No detail: treat as unanswered",IF(AND(AF197="Yes",AI197=""),"No evidence link",IF(AND(AJ197="Gap",OR(AL197="",AM197="")),"Gap needs owner and due date","OK")))))</f>
        <v>Awaiting response</v>
      </c>
    </row>
    <row r="198" customFormat="false" ht="79.85" hidden="false" customHeight="false" outlineLevel="0" collapsed="false">
      <c r="A198" s="28" t="s">
        <v>1116</v>
      </c>
      <c r="B198" s="6" t="s">
        <v>1117</v>
      </c>
      <c r="C198" s="6" t="s">
        <v>1118</v>
      </c>
      <c r="D198" s="6" t="s">
        <v>154</v>
      </c>
      <c r="E198" s="29" t="s">
        <v>232</v>
      </c>
      <c r="F198" s="29" t="s">
        <v>29</v>
      </c>
      <c r="G198" s="29" t="s">
        <v>38</v>
      </c>
      <c r="H198" s="6" t="s">
        <v>1119</v>
      </c>
      <c r="I198" s="6" t="s">
        <v>1120</v>
      </c>
      <c r="J198" s="6" t="s">
        <v>1121</v>
      </c>
      <c r="K198" s="6" t="s">
        <v>1122</v>
      </c>
      <c r="L198" s="29" t="n">
        <v>4</v>
      </c>
      <c r="M198" s="6" t="s">
        <v>1123</v>
      </c>
      <c r="N198" s="6" t="s">
        <v>1124</v>
      </c>
      <c r="O198" s="6" t="s">
        <v>1125</v>
      </c>
      <c r="P198" s="6" t="s">
        <v>1126</v>
      </c>
      <c r="Q198" s="6"/>
      <c r="R198" s="6"/>
      <c r="S198" s="6"/>
      <c r="T198" s="6"/>
      <c r="U198" s="6"/>
      <c r="V198" s="6"/>
      <c r="W198" s="6"/>
      <c r="X198" s="6"/>
      <c r="Y198" s="6"/>
      <c r="Z198" s="6"/>
      <c r="AA198" s="6"/>
      <c r="AB198" s="6"/>
      <c r="AC198" s="6"/>
      <c r="AD198" s="30" t="s">
        <v>208</v>
      </c>
      <c r="AE198" s="30" t="s">
        <v>237</v>
      </c>
      <c r="AF198" s="31"/>
      <c r="AG198" s="32"/>
      <c r="AH198" s="31"/>
      <c r="AI198" s="32"/>
      <c r="AJ198" s="33" t="s">
        <v>127</v>
      </c>
      <c r="AK198" s="34"/>
      <c r="AL198" s="34"/>
      <c r="AM198" s="35"/>
      <c r="AN198" s="36" t="str">
        <f aca="false">IF(AD198&lt;&gt;"Y","Out of scope",IF(AF198="","Awaiting response",IF(AND(OR(AF198="Yes",AF198="Partial"),AG198=""),"No detail: treat as unanswered",IF(AND(AF198="Yes",AI198=""),"No evidence link",IF(AND(AJ198="Gap",OR(AL198="",AM198="")),"Gap needs owner and due date","OK")))))</f>
        <v>Awaiting response</v>
      </c>
    </row>
    <row r="199" customFormat="false" ht="79.85" hidden="false" customHeight="false" outlineLevel="0" collapsed="false">
      <c r="A199" s="28" t="s">
        <v>1127</v>
      </c>
      <c r="B199" s="6" t="s">
        <v>1117</v>
      </c>
      <c r="C199" s="6" t="s">
        <v>1118</v>
      </c>
      <c r="D199" s="6" t="s">
        <v>154</v>
      </c>
      <c r="E199" s="29" t="s">
        <v>232</v>
      </c>
      <c r="F199" s="29" t="s">
        <v>29</v>
      </c>
      <c r="G199" s="29" t="s">
        <v>38</v>
      </c>
      <c r="H199" s="6" t="s">
        <v>1128</v>
      </c>
      <c r="I199" s="6" t="s">
        <v>1120</v>
      </c>
      <c r="J199" s="6" t="s">
        <v>1121</v>
      </c>
      <c r="K199" s="6" t="s">
        <v>1122</v>
      </c>
      <c r="L199" s="29" t="n">
        <v>4</v>
      </c>
      <c r="M199" s="6" t="s">
        <v>1123</v>
      </c>
      <c r="N199" s="6" t="s">
        <v>1124</v>
      </c>
      <c r="O199" s="6" t="s">
        <v>1125</v>
      </c>
      <c r="P199" s="6" t="s">
        <v>1126</v>
      </c>
      <c r="Q199" s="6"/>
      <c r="R199" s="6"/>
      <c r="S199" s="6"/>
      <c r="T199" s="6"/>
      <c r="U199" s="6"/>
      <c r="V199" s="6"/>
      <c r="W199" s="6"/>
      <c r="X199" s="6"/>
      <c r="Y199" s="6"/>
      <c r="Z199" s="6"/>
      <c r="AA199" s="6"/>
      <c r="AB199" s="6"/>
      <c r="AC199" s="6"/>
      <c r="AD199" s="30" t="s">
        <v>208</v>
      </c>
      <c r="AE199" s="30" t="s">
        <v>237</v>
      </c>
      <c r="AF199" s="31"/>
      <c r="AG199" s="32"/>
      <c r="AH199" s="31"/>
      <c r="AI199" s="32"/>
      <c r="AJ199" s="33" t="s">
        <v>127</v>
      </c>
      <c r="AK199" s="34"/>
      <c r="AL199" s="34"/>
      <c r="AM199" s="35"/>
      <c r="AN199" s="36" t="str">
        <f aca="false">IF(AD199&lt;&gt;"Y","Out of scope",IF(AF199="","Awaiting response",IF(AND(OR(AF199="Yes",AF199="Partial"),AG199=""),"No detail: treat as unanswered",IF(AND(AF199="Yes",AI199=""),"No evidence link",IF(AND(AJ199="Gap",OR(AL199="",AM199="")),"Gap needs owner and due date","OK")))))</f>
        <v>Awaiting response</v>
      </c>
    </row>
    <row r="200" customFormat="false" ht="79.85" hidden="false" customHeight="false" outlineLevel="0" collapsed="false">
      <c r="A200" s="28" t="s">
        <v>1129</v>
      </c>
      <c r="B200" s="6" t="s">
        <v>1117</v>
      </c>
      <c r="C200" s="6" t="s">
        <v>1118</v>
      </c>
      <c r="D200" s="6" t="s">
        <v>154</v>
      </c>
      <c r="E200" s="29" t="s">
        <v>232</v>
      </c>
      <c r="F200" s="29" t="s">
        <v>29</v>
      </c>
      <c r="G200" s="29" t="s">
        <v>38</v>
      </c>
      <c r="H200" s="6" t="s">
        <v>1130</v>
      </c>
      <c r="I200" s="6" t="s">
        <v>1120</v>
      </c>
      <c r="J200" s="6" t="s">
        <v>1121</v>
      </c>
      <c r="K200" s="6" t="s">
        <v>1122</v>
      </c>
      <c r="L200" s="29" t="n">
        <v>4</v>
      </c>
      <c r="M200" s="6" t="s">
        <v>1123</v>
      </c>
      <c r="N200" s="6" t="s">
        <v>1124</v>
      </c>
      <c r="O200" s="6" t="s">
        <v>1125</v>
      </c>
      <c r="P200" s="6" t="s">
        <v>1126</v>
      </c>
      <c r="Q200" s="6"/>
      <c r="R200" s="6"/>
      <c r="S200" s="6"/>
      <c r="T200" s="6"/>
      <c r="U200" s="6"/>
      <c r="V200" s="6"/>
      <c r="W200" s="6"/>
      <c r="X200" s="6"/>
      <c r="Y200" s="6"/>
      <c r="Z200" s="6"/>
      <c r="AA200" s="6"/>
      <c r="AB200" s="6"/>
      <c r="AC200" s="6"/>
      <c r="AD200" s="30" t="s">
        <v>208</v>
      </c>
      <c r="AE200" s="30" t="s">
        <v>237</v>
      </c>
      <c r="AF200" s="31"/>
      <c r="AG200" s="32"/>
      <c r="AH200" s="31"/>
      <c r="AI200" s="32"/>
      <c r="AJ200" s="33" t="s">
        <v>127</v>
      </c>
      <c r="AK200" s="34"/>
      <c r="AL200" s="34"/>
      <c r="AM200" s="35"/>
      <c r="AN200" s="36" t="str">
        <f aca="false">IF(AD200&lt;&gt;"Y","Out of scope",IF(AF200="","Awaiting response",IF(AND(OR(AF200="Yes",AF200="Partial"),AG200=""),"No detail: treat as unanswered",IF(AND(AF200="Yes",AI200=""),"No evidence link",IF(AND(AJ200="Gap",OR(AL200="",AM200="")),"Gap needs owner and due date","OK")))))</f>
        <v>Awaiting response</v>
      </c>
    </row>
    <row r="201" customFormat="false" ht="79.85" hidden="false" customHeight="false" outlineLevel="0" collapsed="false">
      <c r="A201" s="28" t="s">
        <v>1131</v>
      </c>
      <c r="B201" s="6" t="s">
        <v>1117</v>
      </c>
      <c r="C201" s="6" t="s">
        <v>1118</v>
      </c>
      <c r="D201" s="6" t="s">
        <v>154</v>
      </c>
      <c r="E201" s="29" t="s">
        <v>232</v>
      </c>
      <c r="F201" s="29" t="s">
        <v>29</v>
      </c>
      <c r="G201" s="29" t="s">
        <v>38</v>
      </c>
      <c r="H201" s="6" t="s">
        <v>1132</v>
      </c>
      <c r="I201" s="6" t="s">
        <v>1120</v>
      </c>
      <c r="J201" s="6" t="s">
        <v>1121</v>
      </c>
      <c r="K201" s="6" t="s">
        <v>1122</v>
      </c>
      <c r="L201" s="29" t="n">
        <v>4</v>
      </c>
      <c r="M201" s="6" t="s">
        <v>1123</v>
      </c>
      <c r="N201" s="6" t="s">
        <v>1124</v>
      </c>
      <c r="O201" s="6" t="s">
        <v>1125</v>
      </c>
      <c r="P201" s="6" t="s">
        <v>1126</v>
      </c>
      <c r="Q201" s="6"/>
      <c r="R201" s="6"/>
      <c r="S201" s="6"/>
      <c r="T201" s="6"/>
      <c r="U201" s="6"/>
      <c r="V201" s="6"/>
      <c r="W201" s="6"/>
      <c r="X201" s="6"/>
      <c r="Y201" s="6"/>
      <c r="Z201" s="6"/>
      <c r="AA201" s="6"/>
      <c r="AB201" s="6"/>
      <c r="AC201" s="6"/>
      <c r="AD201" s="30" t="s">
        <v>208</v>
      </c>
      <c r="AE201" s="30" t="s">
        <v>237</v>
      </c>
      <c r="AF201" s="31"/>
      <c r="AG201" s="32"/>
      <c r="AH201" s="31"/>
      <c r="AI201" s="32"/>
      <c r="AJ201" s="33" t="s">
        <v>127</v>
      </c>
      <c r="AK201" s="34"/>
      <c r="AL201" s="34"/>
      <c r="AM201" s="35"/>
      <c r="AN201" s="36" t="str">
        <f aca="false">IF(AD201&lt;&gt;"Y","Out of scope",IF(AF201="","Awaiting response",IF(AND(OR(AF201="Yes",AF201="Partial"),AG201=""),"No detail: treat as unanswered",IF(AND(AF201="Yes",AI201=""),"No evidence link",IF(AND(AJ201="Gap",OR(AL201="",AM201="")),"Gap needs owner and due date","OK")))))</f>
        <v>Awaiting response</v>
      </c>
    </row>
    <row r="202" customFormat="false" ht="79.85" hidden="false" customHeight="false" outlineLevel="0" collapsed="false">
      <c r="A202" s="28" t="s">
        <v>1133</v>
      </c>
      <c r="B202" s="6" t="s">
        <v>1117</v>
      </c>
      <c r="C202" s="6" t="s">
        <v>1118</v>
      </c>
      <c r="D202" s="6" t="s">
        <v>154</v>
      </c>
      <c r="E202" s="29" t="s">
        <v>232</v>
      </c>
      <c r="F202" s="29" t="s">
        <v>29</v>
      </c>
      <c r="G202" s="29" t="s">
        <v>38</v>
      </c>
      <c r="H202" s="6" t="s">
        <v>1134</v>
      </c>
      <c r="I202" s="6" t="s">
        <v>1120</v>
      </c>
      <c r="J202" s="6" t="s">
        <v>1121</v>
      </c>
      <c r="K202" s="6" t="s">
        <v>1122</v>
      </c>
      <c r="L202" s="29" t="n">
        <v>4</v>
      </c>
      <c r="M202" s="6" t="s">
        <v>1123</v>
      </c>
      <c r="N202" s="6" t="s">
        <v>1124</v>
      </c>
      <c r="O202" s="6" t="s">
        <v>1125</v>
      </c>
      <c r="P202" s="6" t="s">
        <v>1126</v>
      </c>
      <c r="Q202" s="6"/>
      <c r="R202" s="6"/>
      <c r="S202" s="6"/>
      <c r="T202" s="6"/>
      <c r="U202" s="6"/>
      <c r="V202" s="6"/>
      <c r="W202" s="6"/>
      <c r="X202" s="6"/>
      <c r="Y202" s="6"/>
      <c r="Z202" s="6"/>
      <c r="AA202" s="6"/>
      <c r="AB202" s="6"/>
      <c r="AC202" s="6"/>
      <c r="AD202" s="30" t="s">
        <v>208</v>
      </c>
      <c r="AE202" s="30" t="s">
        <v>237</v>
      </c>
      <c r="AF202" s="31"/>
      <c r="AG202" s="32"/>
      <c r="AH202" s="31"/>
      <c r="AI202" s="32"/>
      <c r="AJ202" s="33" t="s">
        <v>127</v>
      </c>
      <c r="AK202" s="34"/>
      <c r="AL202" s="34"/>
      <c r="AM202" s="35"/>
      <c r="AN202" s="36" t="str">
        <f aca="false">IF(AD202&lt;&gt;"Y","Out of scope",IF(AF202="","Awaiting response",IF(AND(OR(AF202="Yes",AF202="Partial"),AG202=""),"No detail: treat as unanswered",IF(AND(AF202="Yes",AI202=""),"No evidence link",IF(AND(AJ202="Gap",OR(AL202="",AM202="")),"Gap needs owner and due date","OK")))))</f>
        <v>Awaiting response</v>
      </c>
    </row>
  </sheetData>
  <autoFilter ref="A4:AN202"/>
  <conditionalFormatting sqref="AJ5:AJ202">
    <cfRule type="cellIs" priority="2" operator="equal" aboveAverage="0" equalAverage="0" bottom="0" percent="0" rank="0" text="" dxfId="13">
      <formula>"Pending"</formula>
    </cfRule>
    <cfRule type="cellIs" priority="3" operator="equal" aboveAverage="0" equalAverage="0" bottom="0" percent="0" rank="0" text="" dxfId="14">
      <formula>"Accepted"</formula>
    </cfRule>
    <cfRule type="cellIs" priority="4" operator="equal" aboveAverage="0" equalAverage="0" bottom="0" percent="0" rank="0" text="" dxfId="15">
      <formula>"Gap"</formula>
    </cfRule>
    <cfRule type="cellIs" priority="5" operator="equal" aboveAverage="0" equalAverage="0" bottom="0" percent="0" rank="0" text="" dxfId="16">
      <formula>"Risk Accepted"</formula>
    </cfRule>
    <cfRule type="cellIs" priority="6" operator="equal" aboveAverage="0" equalAverage="0" bottom="0" percent="0" rank="0" text="" dxfId="17">
      <formula>"Not Applicable"</formula>
    </cfRule>
  </conditionalFormatting>
  <conditionalFormatting sqref="AN5:AN202">
    <cfRule type="cellIs" priority="7" operator="equal" aboveAverage="0" equalAverage="0" bottom="0" percent="0" rank="0" text="" dxfId="18">
      <formula>"No detail: treat as unanswered"</formula>
    </cfRule>
    <cfRule type="cellIs" priority="8" operator="equal" aboveAverage="0" equalAverage="0" bottom="0" percent="0" rank="0" text="" dxfId="18">
      <formula>"No evidence link"</formula>
    </cfRule>
    <cfRule type="cellIs" priority="9" operator="equal" aboveAverage="0" equalAverage="0" bottom="0" percent="0" rank="0" text="" dxfId="19">
      <formula>"Gap needs owner and due date"</formula>
    </cfRule>
    <cfRule type="cellIs" priority="10" operator="equal" aboveAverage="0" equalAverage="0" bottom="0" percent="0" rank="0" text="" dxfId="20">
      <formula>"OK"</formula>
    </cfRule>
  </conditionalFormatting>
  <dataValidations count="8">
    <dataValidation allowBlank="true" error="Choose a value from the list (edit the Lists sheet to change the options)." errorStyle="warning" operator="between" showDropDown="false" showErrorMessage="true" showInputMessage="false" sqref="AD5:AD202" type="list">
      <formula1>Lists!$A$2:$A$3</formula1>
      <formula2>0</formula2>
    </dataValidation>
    <dataValidation allowBlank="true" error="Choose a value from the list (edit the Lists sheet to change the options)." errorStyle="warning" operator="between" showDropDown="false" showErrorMessage="true" showInputMessage="false" sqref="AE5:AE202" type="list">
      <formula1>Lists!$A$2:$A$3</formula1>
      <formula2>0</formula2>
    </dataValidation>
    <dataValidation allowBlank="true" error="Choose a value from the list (edit the Lists sheet to change the options)." errorStyle="warning" operator="between" showDropDown="false" showErrorMessage="true" showInputMessage="false" sqref="AF5:AF202" type="list">
      <formula1>Lists!$D$2:$D$5</formula1>
      <formula2>0</formula2>
    </dataValidation>
    <dataValidation allowBlank="true" error="Choose a value from the list (edit the Lists sheet to change the options)." errorStyle="warning" operator="between" showDropDown="false" showErrorMessage="true" showInputMessage="false" sqref="AH5:AH202" type="list">
      <formula1>Lists!$F$2:$F$14</formula1>
      <formula2>0</formula2>
    </dataValidation>
    <dataValidation allowBlank="true" error="Choose a value from the list (edit the Lists sheet to change the options)." errorStyle="warning" operator="between" showDropDown="false" showErrorMessage="true" showInputMessage="false" sqref="AJ5:AJ202" type="list">
      <formula1>Lists!$E$2:$E$6</formula1>
      <formula2>0</formula2>
    </dataValidation>
    <dataValidation allowBlank="true" error="Choose a value from the list (edit the Lists sheet to change the options)." errorStyle="warning" operator="between" showDropDown="false" showErrorMessage="true" showInputMessage="false" sqref="F5:F202" type="list">
      <formula1>Lists!$B$2:$B$6</formula1>
      <formula2>0</formula2>
    </dataValidation>
    <dataValidation allowBlank="true" error="Choose a value from the list (edit the Lists sheet to change the options)." errorStyle="warning" operator="between" showDropDown="false" showErrorMessage="true" showInputMessage="false" sqref="G5:G202" type="list">
      <formula1>Lists!$C$2:$C$4</formula1>
      <formula2>0</formula2>
    </dataValidation>
    <dataValidation allowBlank="true" error="Enter a date (for example 2026-10-17)." errorStyle="warning" operator="greaterThan" showDropDown="false" showErrorMessage="true" showInputMessage="false" sqref="AM5:AM202"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F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6"/>
    <col collapsed="false" customWidth="true" hidden="false" outlineLevel="0" max="3" min="3" style="0" width="23"/>
    <col collapsed="false" customWidth="true" hidden="false" outlineLevel="0" max="4" min="4" style="0" width="14"/>
    <col collapsed="false" customWidth="true" hidden="false" outlineLevel="0" max="5" min="5" style="0" width="16"/>
    <col collapsed="false" customWidth="true" hidden="false" outlineLevel="0" max="6" min="6" style="0" width="27"/>
  </cols>
  <sheetData>
    <row r="1" customFormat="false" ht="15" hidden="false" customHeight="false" outlineLevel="0" collapsed="false">
      <c r="A1" s="37" t="s">
        <v>1135</v>
      </c>
      <c r="B1" s="37" t="s">
        <v>1136</v>
      </c>
      <c r="C1" s="37" t="s">
        <v>1137</v>
      </c>
      <c r="D1" s="37" t="s">
        <v>1138</v>
      </c>
      <c r="E1" s="37" t="s">
        <v>1139</v>
      </c>
      <c r="F1" s="37" t="s">
        <v>1140</v>
      </c>
    </row>
    <row r="2" customFormat="false" ht="15" hidden="false" customHeight="false" outlineLevel="0" collapsed="false">
      <c r="A2" s="0" t="s">
        <v>208</v>
      </c>
      <c r="B2" s="0" t="s">
        <v>27</v>
      </c>
      <c r="C2" s="0" t="s">
        <v>38</v>
      </c>
      <c r="D2" s="0" t="s">
        <v>134</v>
      </c>
      <c r="E2" s="0" t="s">
        <v>127</v>
      </c>
      <c r="F2" s="0" t="s">
        <v>1141</v>
      </c>
    </row>
    <row r="3" customFormat="false" ht="15" hidden="false" customHeight="false" outlineLevel="0" collapsed="false">
      <c r="A3" s="0" t="s">
        <v>237</v>
      </c>
      <c r="B3" s="0" t="s">
        <v>29</v>
      </c>
      <c r="C3" s="0" t="s">
        <v>40</v>
      </c>
      <c r="D3" s="0" t="s">
        <v>135</v>
      </c>
      <c r="E3" s="0" t="s">
        <v>128</v>
      </c>
      <c r="F3" s="0" t="s">
        <v>1142</v>
      </c>
    </row>
    <row r="4" customFormat="false" ht="15" hidden="false" customHeight="false" outlineLevel="0" collapsed="false">
      <c r="B4" s="0" t="s">
        <v>31</v>
      </c>
      <c r="C4" s="0" t="s">
        <v>42</v>
      </c>
      <c r="D4" s="0" t="s">
        <v>136</v>
      </c>
      <c r="E4" s="0" t="s">
        <v>129</v>
      </c>
      <c r="F4" s="0" t="s">
        <v>1143</v>
      </c>
    </row>
    <row r="5" customFormat="false" ht="15" hidden="false" customHeight="false" outlineLevel="0" collapsed="false">
      <c r="B5" s="0" t="s">
        <v>33</v>
      </c>
      <c r="D5" s="0" t="s">
        <v>137</v>
      </c>
      <c r="E5" s="0" t="s">
        <v>130</v>
      </c>
      <c r="F5" s="0" t="s">
        <v>1144</v>
      </c>
    </row>
    <row r="6" customFormat="false" ht="15" hidden="false" customHeight="false" outlineLevel="0" collapsed="false">
      <c r="B6" s="0" t="s">
        <v>35</v>
      </c>
      <c r="E6" s="0" t="s">
        <v>131</v>
      </c>
      <c r="F6" s="0" t="s">
        <v>1145</v>
      </c>
    </row>
    <row r="7" customFormat="false" ht="15" hidden="false" customHeight="false" outlineLevel="0" collapsed="false">
      <c r="F7" s="0" t="s">
        <v>1146</v>
      </c>
    </row>
    <row r="8" customFormat="false" ht="15" hidden="false" customHeight="false" outlineLevel="0" collapsed="false">
      <c r="F8" s="0" t="s">
        <v>1147</v>
      </c>
    </row>
    <row r="9" customFormat="false" ht="15" hidden="false" customHeight="false" outlineLevel="0" collapsed="false">
      <c r="F9" s="0" t="s">
        <v>1148</v>
      </c>
    </row>
    <row r="10" customFormat="false" ht="15" hidden="false" customHeight="false" outlineLevel="0" collapsed="false">
      <c r="F10" s="0" t="s">
        <v>1149</v>
      </c>
    </row>
    <row r="11" customFormat="false" ht="15" hidden="false" customHeight="false" outlineLevel="0" collapsed="false">
      <c r="F11" s="0" t="s">
        <v>1150</v>
      </c>
    </row>
    <row r="12" customFormat="false" ht="15" hidden="false" customHeight="false" outlineLevel="0" collapsed="false">
      <c r="F12" s="0" t="s">
        <v>1151</v>
      </c>
    </row>
    <row r="13" customFormat="false" ht="15" hidden="false" customHeight="false" outlineLevel="0" collapsed="false">
      <c r="F13" s="0" t="s">
        <v>1152</v>
      </c>
    </row>
    <row r="14" customFormat="false" ht="15" hidden="false" customHeight="false" outlineLevel="0" collapsed="false">
      <c r="F14" s="0" t="s">
        <v>1153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 and Ankush Jain)</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Assurance</cp:category>
  <dcterms:created xsi:type="dcterms:W3CDTF">2026-10-29T19:28:40Z</dcterms:created>
  <dc:creator>Nachiket Sathaye; Ankush Jain</dc:creator>
  <dc:description>Copyright (c) 2026 Nachiket Sathaye and Ankush Jain. Licensed under CC BY-SA 4.0: https://creativecommons.org/licenses/by-sa/4.0/. Source: https://nachi065.github.io/AI-Security-Wiki/</dc:description>
  <cp:keywords>AI security requirements RTM vendor assessment CC BY-SA 4.0</cp:keywords>
  <dc:language>en-US</dc:language>
  <cp:lastModifiedBy>Nachiket Sathaye</cp:lastModifiedBy>
  <dcterms:modified xsi:type="dcterms:W3CDTF">2026-10-29T19:28:41Z</dcterms:modified>
  <cp:revision>0</cp:revision>
  <dc:subject>AI security requirements traceability matrix built from the AI Security Wiki</dc:subject>
  <dc:title>AI Security Requirements Traceability Matrix</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 and Ankush Jain</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Source">
    <vt:lpwstr>https://nachi065.github.io/AI-Security-Wiki/</vt:lpwstr>
  </property>
</Properties>
</file>