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6.xml.rels" ContentType="application/vnd.openxmlformats-package.relationships+xml"/>
  <Override PartName="/xl/worksheets/_rels/sheet4.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README" sheetId="1" state="visible" r:id="rId3"/>
    <sheet name="License" sheetId="2" state="visible" r:id="rId4"/>
    <sheet name="Dashboard" sheetId="3" state="visible" r:id="rId5"/>
    <sheet name="Control Library" sheetId="4" state="visible" r:id="rId6"/>
    <sheet name="Coverage" sheetId="5" state="visible" r:id="rId7"/>
    <sheet name="Framework Crosswalk" sheetId="6" state="visible" r:id="rId8"/>
    <sheet name="Framework Matrix" sheetId="7" state="visible" r:id="rId9"/>
    <sheet name="Risk to Control" sheetId="8" state="visible" r:id="rId10"/>
    <sheet name="Lists" sheetId="9" state="visible" r:id="rId11"/>
  </sheets>
  <definedNames>
    <definedName function="false" hidden="false" localSheetId="3" name="_xlnm.Print_Titles" vbProcedure="false">'Control Library'!$1:$5</definedName>
    <definedName function="false" hidden="true" localSheetId="3" name="_xlnm._FilterDatabase" vbProcedure="false">'Control Library'!$A$4:$AA$50</definedName>
    <definedName function="false" hidden="true" localSheetId="5" name="_xlnm._FilterDatabase" vbProcedure="false">'Framework Crosswalk'!$A$4:$L$977</definedName>
    <definedName function="false" hidden="false" localSheetId="6" name="_xlnm.Print_Titles" vbProcedure="false">'Framework Matrix'!$1:$5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<sst xmlns="http://schemas.openxmlformats.org/spreadsheetml/2006/main" count="10208" uniqueCount="3914">
  <si>
    <t xml:space="preserve">AI Security Control Library and Crosswalks</t>
  </si>
  <si>
    <t xml:space="preserve">Built from the AI Security Wiki (https://nachi065.github.io/AI-Security-Wiki/) on 29 October 2026. Version 1.7.</t>
  </si>
  <si>
    <t xml:space="preserve">Read first</t>
  </si>
  <si>
    <t xml:space="preserve">What this is</t>
  </si>
  <si>
    <t xml:space="preserve">The wiki's 46 AI security controls with every field from the Control Objectives Library, ready to track implementation and testing, cross-referenced to 973 items across 51 frameworks, standards, ethics instruments and regional regulations.</t>
  </si>
  <si>
    <t xml:space="preserve">Mappings are the wiki's</t>
  </si>
  <si>
    <t xml:space="preserve">Every link between a framework item and a control is the wiki's own mapping, not the framework owner's. Where a crosswalk maps an item to risks only, controls are derived through the AI Risk to Control Mapping and labelled "Derived via mapped risks". Check the source before claiming conformance.</t>
  </si>
  <si>
    <t xml:space="preserve">Tiers</t>
  </si>
  <si>
    <t xml:space="preserve">Baseline and Advanced are the author's judgement, not a requirement of any framework (wiki Control Tiers page). A high-risk use case can need an Advanced control early.</t>
  </si>
  <si>
    <t xml:space="preserve">Defaults to agree</t>
  </si>
  <si>
    <t xml:space="preserve">Test intervals (orange) are read from each control's review frequency: quarterly 3, semi-annually 6, annually 12 months. Event-driven frequencies (for example before each training run) have no interval: set the date yourself.</t>
  </si>
  <si>
    <t xml:space="preserve">How to use</t>
  </si>
  <si>
    <t xml:space="preserve">1. Control Library</t>
  </si>
  <si>
    <t xml:space="preserve">Mark each control Applicable or not, set its Implementation Status, named owner and evidence location, and record the last test.</t>
  </si>
  <si>
    <t xml:space="preserve">2. Coverage</t>
  </si>
  <si>
    <t xml:space="preserve">See how much of each framework your implemented controls cover.</t>
  </si>
  <si>
    <t xml:space="preserve">3. Framework Crosswalk</t>
  </si>
  <si>
    <t xml:space="preserve">Filter by framework to see each item, its controls and whether they are implemented.</t>
  </si>
  <si>
    <t xml:space="preserve">4. Framework Matrix</t>
  </si>
  <si>
    <t xml:space="preserve">Read one control across all frameworks, for example to answer an auditor's mapping question.</t>
  </si>
  <si>
    <t xml:space="preserve">5. Risk to Control</t>
  </si>
  <si>
    <t xml:space="preserve">See which register risks are fully, partly or not covered by implemented controls.</t>
  </si>
  <si>
    <t xml:space="preserve">6. Dashboard</t>
  </si>
  <si>
    <t xml:space="preserve">Status by tier and family, and testing that is overdue.</t>
  </si>
  <si>
    <t xml:space="preserve">Colour legend</t>
  </si>
  <si>
    <t xml:space="preserve">White cells</t>
  </si>
  <si>
    <t xml:space="preserve">Copied from the wiki.</t>
  </si>
  <si>
    <t xml:space="preserve">Yellow cells</t>
  </si>
  <si>
    <t xml:space="preserve">Enter or choose a value.</t>
  </si>
  <si>
    <t xml:space="preserve">Grey cells</t>
  </si>
  <si>
    <t xml:space="preserve">Calculated. Do not overwrite.</t>
  </si>
  <si>
    <t xml:space="preserve">Orange cells</t>
  </si>
  <si>
    <t xml:space="preserve">Defaults read from the wiki review frequency; change to your own.</t>
  </si>
  <si>
    <t xml:space="preserve">Sheets</t>
  </si>
  <si>
    <t xml:space="preserve">Dashboard</t>
  </si>
  <si>
    <t xml:space="preserve">Implementation and testing status.</t>
  </si>
  <si>
    <t xml:space="preserve">Control Library</t>
  </si>
  <si>
    <t xml:space="preserve">46 controls, 27 columns.</t>
  </si>
  <si>
    <t xml:space="preserve">Coverage</t>
  </si>
  <si>
    <t xml:space="preserve">Coverage for each of the 51 framework columns.</t>
  </si>
  <si>
    <t xml:space="preserve">Framework Crosswalk</t>
  </si>
  <si>
    <t xml:space="preserve">973 framework items with controls and coverage.</t>
  </si>
  <si>
    <t xml:space="preserve">Framework Matrix</t>
  </si>
  <si>
    <t xml:space="preserve">46 controls by 51 frameworks.</t>
  </si>
  <si>
    <t xml:space="preserve">Risk to Control</t>
  </si>
  <si>
    <t xml:space="preserve">The wiki's risk-to-control mapping with coverage.</t>
  </si>
  <si>
    <t xml:space="preserve">Lists</t>
  </si>
  <si>
    <t xml:space="preserve">Dropdown values.</t>
  </si>
  <si>
    <t xml:space="preserve">License</t>
  </si>
  <si>
    <t xml:space="preserve">Copyright, CC BY-SA 4.0 notice, how to credit, ShareAlike, disclaimer and third-party material.</t>
  </si>
  <si>
    <t xml:space="preserve">Sources (AI Security Wiki pages)</t>
  </si>
  <si>
    <t xml:space="preserve">AI Security Control Objectives Library</t>
  </si>
  <si>
    <t xml:space="preserve">https://nachi065.github.io/AI-Security-Wiki/03_Control_Library/03_AI_Security_Control_Objectives_Library.html</t>
  </si>
  <si>
    <t xml:space="preserve">Control Tiers</t>
  </si>
  <si>
    <t xml:space="preserve">https://nachi065.github.io/AI-Security-Wiki/03_Control_Library/06_Control_Tiers.html</t>
  </si>
  <si>
    <t xml:space="preserve">AI Risk to Control Mapping</t>
  </si>
  <si>
    <t xml:space="preserve">https://nachi065.github.io/AI-Security-Wiki/02_Risk_Management/02D_AI_Risk_to_Control_Mapping.html</t>
  </si>
  <si>
    <t xml:space="preserve">Framework Crosswalks</t>
  </si>
  <si>
    <t xml:space="preserve">https://nachi065.github.io/AI-Security-Wiki/23_Framework_Crosswalks/index.html</t>
  </si>
  <si>
    <t xml:space="preserve">AI Security PoC Test Case Library</t>
  </si>
  <si>
    <t xml:space="preserve">https://nachi065.github.io/AI-Security-Wiki/06_Testing_and_Assurance/13_AI_Security_PoC_Test_Case_Library.html</t>
  </si>
  <si>
    <t xml:space="preserve">AI Security Control Library and Crosswalks Copyright (c) 2026 Nachiket Sathaye and Ankush Jain. Licensed under CC BY-SA 4.0 (https://creativecommons.org/licenses/by-sa/4.0/). See the License sheet for credit, ShareAlike and third-party terms.</t>
  </si>
  <si>
    <t xml:space="preserve">AI Security Control Library and Crosswalks, version 1.7, 29 October 2026</t>
  </si>
  <si>
    <t xml:space="preserve">License notice</t>
  </si>
  <si>
    <t xml:space="preserve">Work</t>
  </si>
  <si>
    <t xml:space="preserve">Copyright</t>
  </si>
  <si>
    <t xml:space="preserve">Copyright (c) 2026 Nachiket Sathaye and Ankush Jain.</t>
  </si>
  <si>
    <t xml:space="preserve">This work, AI Security Control Library and Crosswalks, is licensed under the Creative Commons Attribution-ShareAlike 4.0 International License (CC BY-SA 4.0).</t>
  </si>
  <si>
    <t xml:space="preserve">License summary (deed)</t>
  </si>
  <si>
    <t xml:space="preserve">https://creativecommons.org/licenses/by-sa/4.0/</t>
  </si>
  <si>
    <t xml:space="preserve">Full legal code</t>
  </si>
  <si>
    <t xml:space="preserve">https://creativecommons.org/licenses/by-sa/4.0/legalcode.en</t>
  </si>
  <si>
    <t xml:space="preserve">Source</t>
  </si>
  <si>
    <t xml:space="preserve">https://nachi065.github.io/AI-Security-Wiki/</t>
  </si>
  <si>
    <t xml:space="preserve">Repository</t>
  </si>
  <si>
    <t xml:space="preserve">https://github.com/nachi065/AI-Security-Wiki</t>
  </si>
  <si>
    <t xml:space="preserve">How to credit this work</t>
  </si>
  <si>
    <t xml:space="preserve">Credit line</t>
  </si>
  <si>
    <t xml:space="preserve">"AI Security Control Library and Crosswalks" by Nachiket Sathaye and Ankush Jain, AI Security Wiki (https://nachi065.github.io/AI-Security-Wiki/), licensed under CC BY-SA 4.0 (https://creativecommons.org/licenses/by-sa/4.0/).</t>
  </si>
  <si>
    <t xml:space="preserve">If you change it</t>
  </si>
  <si>
    <t xml:space="preserve">Say that you changed it and keep earlier change notes, for example: "Adapted from AI Security Control Library and Crosswalks by Nachiket Sathaye and Ankush Jain (https://nachi065.github.io/AI-Security-Wiki/), CC BY-SA 4.0. Changes: added our implementation status and owners."</t>
  </si>
  <si>
    <t xml:space="preserve">Keep these notices</t>
  </si>
  <si>
    <t xml:space="preserve">Keep the copyright notice, this license notice, the disclaimer below and the third-party credits when you share the workbook or a copy of it.</t>
  </si>
  <si>
    <t xml:space="preserve">ShareAlike</t>
  </si>
  <si>
    <t xml:space="preserve">Adapted versions</t>
  </si>
  <si>
    <t xml:space="preserve">If you remix, transform or build on this workbook and share the result, you must license your contributions under CC BY-SA 4.0, a later version of CC BY-SA, or a BY-SA Compatible License listed by Creative Commons at https://creativecommons.org/compatiblelicenses.</t>
  </si>
  <si>
    <t xml:space="preserve">No extra restrictions</t>
  </si>
  <si>
    <t xml:space="preserve">You may not add terms, or apply technical measures such as DRM, that stop others from doing what the license allows.</t>
  </si>
  <si>
    <t xml:space="preserve">Disclaimer</t>
  </si>
  <si>
    <t xml:space="preserve">As-is</t>
  </si>
  <si>
    <t xml:space="preserve">The workbook is offered as-is, without warranties of any kind, and the licensor is not liable for its use, as set out in Section 5 of the license. It is not legal, audit or professional advice. Its examples are illustrative, and its framework and regulatory references are the wiki's own and should be checked against each source.</t>
  </si>
  <si>
    <t xml:space="preserve">Third-party material</t>
  </si>
  <si>
    <t xml:space="preserve">AI Risk Map</t>
  </si>
  <si>
    <t xml:space="preserve">The AI Risk Map v1.3 crosswalk items, and the risks AI-R29 to AI-R54 they map to, are adapted by the wiki from the AI Risk Map v1.3 (2026) by Evan Wheeler (GitHub wheels344i-gte), https://github.com/wheels344i-gte/ai-risk-map and https://riskframework.org/, licensed under CC BY-SA 4.0.</t>
  </si>
  <si>
    <t xml:space="preserve">Frameworks and standards</t>
  </si>
  <si>
    <t xml:space="preserve">Framework names, identifiers and short item titles (for example ISO/IEC, NIST, OWASP, MITRE ATLAS, CIS, AICPA SOC 2, FINOS, OECD and laws and regulations) are cited for reference and mapping only. They belong to their owners and are not licensed by this notice. Read the original documents under their own terms.</t>
  </si>
  <si>
    <t xml:space="preserve">Trademarks</t>
  </si>
  <si>
    <t xml:space="preserve">Names and marks of standards bodies and organizations belong to their owners. The license does not grant trademark rights (Section 2(b)(2)).</t>
  </si>
  <si>
    <t xml:space="preserve">Other terms</t>
  </si>
  <si>
    <t xml:space="preserve">To use this workbook under terms other than CC BY-SA 4.0, contact the author through https://github.com/nachi065/AI-Security-Wiki.</t>
  </si>
  <si>
    <t xml:space="preserve">Control Dashboard</t>
  </si>
  <si>
    <t xml:space="preserve">Implementation status by tier and family, from Control Library.</t>
  </si>
  <si>
    <t xml:space="preserve">By tier</t>
  </si>
  <si>
    <t xml:space="preserve">Not started</t>
  </si>
  <si>
    <t xml:space="preserve">Planned</t>
  </si>
  <si>
    <t xml:space="preserve">Partially implemented</t>
  </si>
  <si>
    <t xml:space="preserve">Implemented</t>
  </si>
  <si>
    <t xml:space="preserve">Not applicable</t>
  </si>
  <si>
    <t xml:space="preserve">Baseline</t>
  </si>
  <si>
    <t xml:space="preserve">Advanced</t>
  </si>
  <si>
    <t xml:space="preserve">Not yet given a status</t>
  </si>
  <si>
    <t xml:space="preserve">By family</t>
  </si>
  <si>
    <t xml:space="preserve">Discovery and Workforce AI Use</t>
  </si>
  <si>
    <t xml:space="preserve">Application Runtime</t>
  </si>
  <si>
    <t xml:space="preserve">Agents and Tools</t>
  </si>
  <si>
    <t xml:space="preserve">Governance and Compliance</t>
  </si>
  <si>
    <t xml:space="preserve">Detection and Response</t>
  </si>
  <si>
    <t xml:space="preserve">Identity and Access</t>
  </si>
  <si>
    <t xml:space="preserve">Data and Retrieval</t>
  </si>
  <si>
    <t xml:space="preserve">Model, Training and Pipeline</t>
  </si>
  <si>
    <t xml:space="preserve">Supply Chain, Infrastructure and Resilience</t>
  </si>
  <si>
    <t xml:space="preserve">Assurance and Testing</t>
  </si>
  <si>
    <t xml:space="preserve">Cost and Abuse</t>
  </si>
  <si>
    <t xml:space="preserve">Testing</t>
  </si>
  <si>
    <t xml:space="preserve">Count</t>
  </si>
  <si>
    <t xml:space="preserve">Overdue</t>
  </si>
  <si>
    <t xml:space="preserve">Due soon</t>
  </si>
  <si>
    <t xml:space="preserve">On track</t>
  </si>
  <si>
    <t xml:space="preserve">Not yet tested</t>
  </si>
  <si>
    <t xml:space="preserve">Last test result Ineffective</t>
  </si>
  <si>
    <t xml:space="preserve">AI Security Control Library</t>
  </si>
  <si>
    <t xml:space="preserve">The wiki's controls with every field from the Control Objectives Library (white), plus your implementation tracking (yellow) and calculated dates (grey).</t>
  </si>
  <si>
    <t xml:space="preserve">Control ID</t>
  </si>
  <si>
    <t xml:space="preserve">Control</t>
  </si>
  <si>
    <t xml:space="preserve">Family</t>
  </si>
  <si>
    <t xml:space="preserve">Tier</t>
  </si>
  <si>
    <t xml:space="preserve">Control Objective</t>
  </si>
  <si>
    <t xml:space="preserve">Applies To</t>
  </si>
  <si>
    <t xml:space="preserve">Assurance Stage</t>
  </si>
  <si>
    <t xml:space="preserve">Deployment Model</t>
  </si>
  <si>
    <t xml:space="preserve">Risks Mitigated</t>
  </si>
  <si>
    <t xml:space="preserve">Implementation Expectation</t>
  </si>
  <si>
    <t xml:space="preserve">Evidence Required</t>
  </si>
  <si>
    <t xml:space="preserve">Audit Test Procedure</t>
  </si>
  <si>
    <t xml:space="preserve">Control Owner (role)</t>
  </si>
  <si>
    <t xml:space="preserve">Review Frequency</t>
  </si>
  <si>
    <t xml:space="preserve">Regulatory Pointers</t>
  </si>
  <si>
    <t xml:space="preserve">Test Cases in Wiki Library</t>
  </si>
  <si>
    <t xml:space="preserve">Applicable</t>
  </si>
  <si>
    <t xml:space="preserve">Implementation Status</t>
  </si>
  <si>
    <t xml:space="preserve">Named Owner</t>
  </si>
  <si>
    <t xml:space="preserve">Evidence Location</t>
  </si>
  <si>
    <t xml:space="preserve">Last Tested</t>
  </si>
  <si>
    <t xml:space="preserve">Test Interval (months)</t>
  </si>
  <si>
    <t xml:space="preserve">Last Test Result</t>
  </si>
  <si>
    <t xml:space="preserve">Gap or Action</t>
  </si>
  <si>
    <t xml:space="preserve">Target Date</t>
  </si>
  <si>
    <t xml:space="preserve">Next Test Due</t>
  </si>
  <si>
    <t xml:space="preserve">Test Alert</t>
  </si>
  <si>
    <t xml:space="preserve">AI-CTRL-001</t>
  </si>
  <si>
    <t xml:space="preserve">AI Discovery</t>
  </si>
  <si>
    <t xml:space="preserve">Identify approved/unapproved AI platforms across browsers, endpoints, IDEs, SaaS, APIs and custom apps.</t>
  </si>
  <si>
    <t xml:space="preserve">Browser AI / IDE AI / AI APIs / Custom AI Applications / Agents</t>
  </si>
  <si>
    <t xml:space="preserve">Discovery</t>
  </si>
  <si>
    <t xml:space="preserve">All</t>
  </si>
  <si>
    <t xml:space="preserve">AI-R02</t>
  </si>
  <si>
    <t xml:space="preserve">Discover AI services, extensions, plugins, embedded SaaS AI features and API usage continuously. Classify each as approved, tolerated or unapproved, and attribute use to a user, device and application. Look for local models and agents and for AI add-ons such as browser extensions and IDE plug-ins on endpoints, use software allow-listing to stop unapproved installs, and watch network traffic for AI patterns such as Model Context Protocol (MCP) connections. Policy and training alone do not stop shadow AI.</t>
  </si>
  <si>
    <t xml:space="preserve">AI service inventory; usage dashboard; user and device reports; classification of each service.</t>
  </si>
  <si>
    <t xml:space="preserve">Seed a known set of approved and unapproved AI tools in a test group and compare the discovered inventory with ground truth. Confirm new tools appear within the stated interval.</t>
  </si>
  <si>
    <t xml:space="preserve">Security Engineering</t>
  </si>
  <si>
    <t xml:space="preserve">Quarterly</t>
  </si>
  <si>
    <t xml:space="preserve">Yes</t>
  </si>
  <si>
    <t xml:space="preserve">AI-CTRL-002</t>
  </si>
  <si>
    <t xml:space="preserve">Prompt Inspection</t>
  </si>
  <si>
    <t xml:space="preserve">Detect sensitive, restricted or risky content submitted to AI platforms.</t>
  </si>
  <si>
    <t xml:space="preserve">Browser AI / IDE AI / AI APIs / Custom AI Applications</t>
  </si>
  <si>
    <t xml:space="preserve">Implementation</t>
  </si>
  <si>
    <t xml:space="preserve">AI-R01, AI-R03, AI-R27</t>
  </si>
  <si>
    <t xml:space="preserve">Inspect prompts in line or at the endpoint for classified data, personal data, credentials and source code. Apply the data classification scheme already in use, and record the policy outcome for every detection.</t>
  </si>
  <si>
    <t xml:space="preserve">Prompt detection logs; policy outcomes; sampled test results by data type.</t>
  </si>
  <si>
    <t xml:space="preserve">Submit a labelled set of sensitive and benign prompts through each channel. Measure detection rate and false positives, and confirm each detection is logged with user, device and destination.</t>
  </si>
  <si>
    <t xml:space="preserve">AI Security Team</t>
  </si>
  <si>
    <t xml:space="preserve">AI-CTRL-003</t>
  </si>
  <si>
    <t xml:space="preserve">File Upload Protection</t>
  </si>
  <si>
    <t xml:space="preserve">Prevent uploads of confidential or restricted files to unauthorized AI services.</t>
  </si>
  <si>
    <t xml:space="preserve">Browser AI / AI APIs / Custom AI Applications</t>
  </si>
  <si>
    <t xml:space="preserve">Inspect files sent to AI services, including nested archives, images and documents with embedded content. Block or warn according to classification and the approval status of the destination.</t>
  </si>
  <si>
    <t xml:space="preserve">Upload block and warn logs; classification policy; file type coverage matrix.</t>
  </si>
  <si>
    <t xml:space="preserve">Upload labelled test files of each supported type to approved and unapproved services. Confirm the expected action and log entry for each.</t>
  </si>
  <si>
    <t xml:space="preserve">DLP Team</t>
  </si>
  <si>
    <t xml:space="preserve">AI-CTRL-004</t>
  </si>
  <si>
    <t xml:space="preserve">IDE AI Governance</t>
  </si>
  <si>
    <t xml:space="preserve">Monitor and control AI coding assistants, source code sharing and secret leakage.</t>
  </si>
  <si>
    <t xml:space="preserve">IDE AI</t>
  </si>
  <si>
    <t xml:space="preserve">AI-R04, AI-R22</t>
  </si>
  <si>
    <t xml:space="preserve">Inventory AI coding assistants and extensions. Detect proprietary source code and secrets in assistant traffic, restrict assistants on restricted repositories, and attribute activity to developer, device and IDE.</t>
  </si>
  <si>
    <t xml:space="preserve">IDE assistant inventory; secret and source code detection events; repository policy; developer rules.</t>
  </si>
  <si>
    <t xml:space="preserve">Send seeded secrets and marked source code through each approved assistant. Confirm detection, policy action and attribution. Confirm an unapproved extension is discovered.</t>
  </si>
  <si>
    <t xml:space="preserve">DevSecOps</t>
  </si>
  <si>
    <t xml:space="preserve">AI-CTRL-005</t>
  </si>
  <si>
    <t xml:space="preserve">Runtime AI Security</t>
  </si>
  <si>
    <t xml:space="preserve">Protect custom AI applications from prompt injection, misuse and output leakage.</t>
  </si>
  <si>
    <t xml:space="preserve">Custom AI Applications / AI APIs</t>
  </si>
  <si>
    <t xml:space="preserve">AI-R05, AI-R06, AI-R24</t>
  </si>
  <si>
    <t xml:space="preserve">Inspect inputs and retrieved content for direct and indirect prompt injection and jailbreaks. Treat retrieved text as untrusted data. Protect the system prompt, and keep high-privilege tools out of sessions that read untrusted content.</t>
  </si>
  <si>
    <t xml:space="preserve">Prompt injection test reports; runtime logs; guardrail configuration; bypass test results.</t>
  </si>
  <si>
    <t xml:space="preserve">Run the prompt injection and jailbreak cases with the control disabled and then enabled. Record attack success rate in both states against the agreed threshold.</t>
  </si>
  <si>
    <t xml:space="preserve">AppSec</t>
  </si>
  <si>
    <t xml:space="preserve">Before each release and quarterly</t>
  </si>
  <si>
    <t xml:space="preserve">AI-CTRL-006</t>
  </si>
  <si>
    <t xml:space="preserve">Agent Governance</t>
  </si>
  <si>
    <t xml:space="preserve">Monitor AI agents, tool calls, API access and autonomous actions.</t>
  </si>
  <si>
    <t xml:space="preserve">Agents</t>
  </si>
  <si>
    <t xml:space="preserve">Design</t>
  </si>
  <si>
    <t xml:space="preserve">AI-R07, AI-R25</t>
  </si>
  <si>
    <t xml:space="preserve">Keep a registry of every agent with its owner, purpose, model, tools, data scope and approval status. Monitor decisions, tool calls and delegation chains, and detect unregistered agents. Keep a map of which agents may call or delegate to which, and alert on links outside it.</t>
  </si>
  <si>
    <t xml:space="preserve">Agent registry; tool access logs; delegation maps; shadow agent reports.</t>
  </si>
  <si>
    <t xml:space="preserve">Deploy registered and unregistered test agents. Confirm the unregistered agents are detected, and that owner, tools and data scope are correct for the registered ones.</t>
  </si>
  <si>
    <t xml:space="preserve">AI Platform Team</t>
  </si>
  <si>
    <t xml:space="preserve">AI-CTRL-007</t>
  </si>
  <si>
    <t xml:space="preserve">Data Sovereignty</t>
  </si>
  <si>
    <t xml:space="preserve">Ensure prompts, logs and uploads are processed and retained in approved locations.</t>
  </si>
  <si>
    <t xml:space="preserve">Browser AI / IDE AI / AI APIs / Custom AI Applications / Agents / Vendors</t>
  </si>
  <si>
    <t xml:space="preserve">Cloud</t>
  </si>
  <si>
    <t xml:space="preserve">AI-R10</t>
  </si>
  <si>
    <t xml:space="preserve">Confirm where prompts, uploads, outputs, metadata and logs are processed and stored, including the control plane and support access. Configure retention and training exclusion, and record any cross-border transfer.</t>
  </si>
  <si>
    <t xml:space="preserve">Residency attestation; retention configuration; training exclusion terms; administrative access logs.</t>
  </si>
  <si>
    <t xml:space="preserve">Trace a test prompt and upload end to end and verify processing and storage locations against the approved list. Verify retention settings by checking that expired records are gone.</t>
  </si>
  <si>
    <t xml:space="preserve">GRC / Legal</t>
  </si>
  <si>
    <t xml:space="preserve">Annually and on vendor change</t>
  </si>
  <si>
    <t xml:space="preserve">AI-CTRL-008</t>
  </si>
  <si>
    <t xml:space="preserve">Auditability</t>
  </si>
  <si>
    <t xml:space="preserve">Maintain logs for prompts, responses, files, users, devices, applications and actions.</t>
  </si>
  <si>
    <t xml:space="preserve">Platform</t>
  </si>
  <si>
    <t xml:space="preserve">AI-R09, AI-R15, AI-R26</t>
  </si>
  <si>
    <t xml:space="preserve">Log prompts, responses, uploads, retrieved sources, model calls, tool calls and policy decisions according to policy. Records must be timestamped, attributable, exportable and retained for the approved period. Record enough detail to validate, investigate, attribute and reconstruct each AI-assisted action, while masking or tokenising payment card and other sensitive data before it is written.</t>
  </si>
  <si>
    <t xml:space="preserve">Exportable audit records; log schema; retention policy; sample reconstruction.</t>
  </si>
  <si>
    <t xml:space="preserve">Pick a completed test interaction and reconstruct it from logs alone: who, what was sent, what was retrieved, what the model returned and what action followed.</t>
  </si>
  <si>
    <t xml:space="preserve">Semi-annually</t>
  </si>
  <si>
    <t xml:space="preserve">AI-CTRL-009</t>
  </si>
  <si>
    <t xml:space="preserve">SOC Integration</t>
  </si>
  <si>
    <t xml:space="preserve">Forward AI security events and logs to monitoring and response platforms.</t>
  </si>
  <si>
    <t xml:space="preserve">Production</t>
  </si>
  <si>
    <t xml:space="preserve">AI-R09</t>
  </si>
  <si>
    <t xml:space="preserve">Forward AI security events to the SIEM with a documented schema. Build detections and runbooks for AI-specific events, and correlate them with identity, endpoint and network telemetry.</t>
  </si>
  <si>
    <t xml:space="preserve">SIEM event IDs; parser mapping; detection rules; runbooks; alert samples.</t>
  </si>
  <si>
    <t xml:space="preserve">Trigger each AI event type in the lab and confirm it arrives in the SIEM within the stated time, parses correctly and raises the expected alert.</t>
  </si>
  <si>
    <t xml:space="preserve">SOC</t>
  </si>
  <si>
    <t xml:space="preserve">AI-CTRL-010</t>
  </si>
  <si>
    <t xml:space="preserve">Policy Enforcement</t>
  </si>
  <si>
    <t xml:space="preserve">Support monitor, warn, redact, block and allow policies based on risk and classification.</t>
  </si>
  <si>
    <t xml:space="preserve">AI-R01, AI-R02, AI-R03</t>
  </si>
  <si>
    <t xml:space="preserve">Apply graduated actions by user group, destination, data classification and risk. Coach users at the point of use, resist simple bypass, and manage exceptions with an owner and expiry date.</t>
  </si>
  <si>
    <t xml:space="preserve">Policy configuration; action logs by type; exception register; bypass test results.</t>
  </si>
  <si>
    <t xml:space="preserve">For each policy action, run a matching test and confirm the action and log entry. Attempt documented bypass methods and record the result.</t>
  </si>
  <si>
    <t xml:space="preserve">AI-CTRL-011</t>
  </si>
  <si>
    <t xml:space="preserve">AI Use-Case Registry and Risk Tiering</t>
  </si>
  <si>
    <t xml:space="preserve">Record every AI use case with a business owner and a risk tier that decides which controls apply.</t>
  </si>
  <si>
    <t xml:space="preserve">AI-R02, AI-R18</t>
  </si>
  <si>
    <t xml:space="preserve">Require intake and approval before deployment. Record owner, purpose, data, model, users and autonomy for each use case. Assign a risk tier using published criteria, and re-tier when the use case changes. Define what counts as AI use, include third-party and embedded AI, and restrict AI that is not in the registry: block it or treat it as shadow AI to be approved or removed.</t>
  </si>
  <si>
    <t xml:space="preserve">Use-case registry; intake and approval records; tiering criteria; re-tiering history; rule that restricts unlisted AI and records of its enforcement.</t>
  </si>
  <si>
    <t xml:space="preserve">Sample use cases in production and confirm each has a registry entry, an owner and a tier consistent with the criteria. Sample registry entries and confirm they match what is deployed.</t>
  </si>
  <si>
    <t xml:space="preserve">AI Governance Lead</t>
  </si>
  <si>
    <t xml:space="preserve">AI-CTRL-012</t>
  </si>
  <si>
    <t xml:space="preserve">AI Policy, Roles and Acceptable Use</t>
  </si>
  <si>
    <t xml:space="preserve">Set and communicate the rules and responsibilities for using and building AI, and map each rule to a control.</t>
  </si>
  <si>
    <t xml:space="preserve">AI-R02, AI-R03, AI-R18, AI-R19, AI-R27, AI-R28</t>
  </si>
  <si>
    <t xml:space="preserve">Publish an AI policy and acceptable-use standard with scope, owner and review date. Have the board, or the body that holds that authority, approve an AI strategy that states the organization's approach to AI and its AI risk appetite, and review it at least annually. Define roles and decision rights across the three lines, and record governance decisions. Map each policy statement to a control in this library. Train users and reinforce the rules at the point of use. Align the AI policy with the information security, privacy, data and other organizational policies it touches, and record where they overlap or conflict. Include AI acceptable use in terms of employment and contractor agreements, and handle breaches through the existing disciplinary process.</t>
  </si>
  <si>
    <t xml:space="preserve">Approved policy; board-approved AI strategy and risk appetite with its review record; roles and responsibilities record; governance decision log; policy-to-control mapping; training and acknowledgement records; policy alignment record; employment and contractor terms covering AI use.</t>
  </si>
  <si>
    <t xml:space="preserve">Select policy statements and trace each to a control and to evidence that it operates. Confirm the policy was reviewed within its cycle.</t>
  </si>
  <si>
    <t xml:space="preserve">GRC</t>
  </si>
  <si>
    <t xml:space="preserve">Annually</t>
  </si>
  <si>
    <t xml:space="preserve">AI-CTRL-013</t>
  </si>
  <si>
    <t xml:space="preserve">Privacy and Regulatory Compliance</t>
  </si>
  <si>
    <t xml:space="preserve">Meet privacy and regulatory obligations for personal data handled by AI systems.</t>
  </si>
  <si>
    <t xml:space="preserve">Browser AI / AI APIs / Custom AI Applications / Agents / Vendors</t>
  </si>
  <si>
    <t xml:space="preserve">AI-R03, AI-R10, AI-R27, AI-R28</t>
  </si>
  <si>
    <t xml:space="preserve">Complete a privacy impact assessment for AI systems that process personal data. Define lawful basis, minimization, retention and data subject request handling, including data held in prompts, logs, indexes and memory.</t>
  </si>
  <si>
    <t xml:space="preserve">Impact assessments; records of processing; data subject request tests; evidence exports.</t>
  </si>
  <si>
    <t xml:space="preserve">Run a data subject access and deletion request against a test identity and confirm the data is found and removed across prompts, logs, indexes and memory.</t>
  </si>
  <si>
    <t xml:space="preserve">Privacy Office / Legal</t>
  </si>
  <si>
    <t xml:space="preserve">Annually and on material change</t>
  </si>
  <si>
    <t xml:space="preserve">AI-CTRL-014</t>
  </si>
  <si>
    <t xml:space="preserve">Third-Party and Vendor AI Assurance</t>
  </si>
  <si>
    <t xml:space="preserve">Assess AI vendors and embedded AI features before use, and reassess when they change.</t>
  </si>
  <si>
    <t xml:space="preserve">Vendors / AI APIs / Browser AI</t>
  </si>
  <si>
    <t xml:space="preserve">AI-R08, AI-R10, AI-R16</t>
  </si>
  <si>
    <t xml:space="preserve">Evaluate vendors against the vendor evaluation framework. Cover training use of customer data, retention, sub-processors, model changes and incident notification in contracts; by default the contract should bar the provider from using personal or confidential data to train or improve its models unless the organization has authorised it. Include audit rights, a right to have the service suspended, and exit and concentration risk where few providers can replace it. Re-evaluate when a vendor changes model or terms. Treat AI built into other products (document readers, content tools, chat widgets on payment pages) as a third-party service when it can reach sensitive data, list the provider with other service providers, and review its due diligence evidence on a set cycle. At contract end, have the provider return or delete the organization's data, fine-tuned models, embeddings and logs, and get written confirmation.</t>
  </si>
  <si>
    <t xml:space="preserve">Vendor assessments; contract clauses; sub-processor list; model change notices; exit return or deletion confirmation.</t>
  </si>
  <si>
    <t xml:space="preserve">Sample AI vendors in use and confirm each has a current assessment and the required contract terms. Confirm the last model or terms change triggered a review.</t>
  </si>
  <si>
    <t xml:space="preserve">Procurement / GRC</t>
  </si>
  <si>
    <t xml:space="preserve">AI-CTRL-015</t>
  </si>
  <si>
    <t xml:space="preserve">Human and Agent Identity</t>
  </si>
  <si>
    <t xml:space="preserve">Give every user, application and agent that uses AI a unique, attributable identity.</t>
  </si>
  <si>
    <t xml:space="preserve">AI APIs / Custom AI Applications / Agents</t>
  </si>
  <si>
    <t xml:space="preserve">AI-R07, AI-R22, AI-R25</t>
  </si>
  <si>
    <t xml:space="preserve">Issue a unique identity to each agent and AI workload, with a named human sponsor. Do not share keys between workloads. Recertify identities on a schedule and remove them when the sponsor leaves or the use case ends. Authenticate agents to each other and sign the messages they exchange, so that one agent cannot pass as another. Give training jobs, pipelines and model-serving processes their own workload identities. An agent cannot provide a possession or inherence factor, so it cannot perform multi-factor authentication. Where a person would need MFA for the same access, give the agent a device-bound credential, preferably cryptographic (for example a device-specific certificate over mutual TLS), limited in time and never reusable by another system or person, and never use the agent to get around an MFA requirement.</t>
  </si>
  <si>
    <t xml:space="preserve">Identity registry; sponsor records; recertification results; orphaned identity report.</t>
  </si>
  <si>
    <t xml:space="preserve">Sample agent identities and confirm each has a sponsor and a current recertification. Remove a test sponsor and confirm the agent identity is flagged.</t>
  </si>
  <si>
    <t xml:space="preserve">IAM Team</t>
  </si>
  <si>
    <t xml:space="preserve">AI-CTRL-016</t>
  </si>
  <si>
    <t xml:space="preserve">Least Privilege and Scoped Credentials</t>
  </si>
  <si>
    <t xml:space="preserve">Limit what each AI workload and agent can reach to the minimum its task needs.</t>
  </si>
  <si>
    <t xml:space="preserve">AI-R06, AI-R07, AI-R08, AI-R22</t>
  </si>
  <si>
    <t xml:space="preserve">Use short-lived credentials scoped per tool and resource. Act with the end user's rights where a user is present, not with a broad service account. Detect and correct permission drift. Keep secrets out of locations an agent can read, such as environment variables, configuration files and shell history; issue short-lived tokens scoped to one task at the moment of the call; and plant canary credentials to detect an agent searching for credentials it was never given. Apply the same limits to training jobs, pipelines and model-serving identities: scope them to the datasets and models the task names, and revoke them when the job ends.</t>
  </si>
  <si>
    <t xml:space="preserve">Permission maps; token scope configuration; access review records; drift reports.</t>
  </si>
  <si>
    <t xml:space="preserve">Have a test agent attempt a tool or resource outside its scope and confirm it is denied and logged. Confirm credentials expire as configured.</t>
  </si>
  <si>
    <t xml:space="preserve">AI-CTRL-017</t>
  </si>
  <si>
    <t xml:space="preserve">Data Protection in AI Pipelines</t>
  </si>
  <si>
    <t xml:space="preserve">Apply classification, minimization and isolation to data that AI systems ingest, process and produce.</t>
  </si>
  <si>
    <t xml:space="preserve">AI-R01, AI-R03, AI-R06, AI-R17</t>
  </si>
  <si>
    <t xml:space="preserve">Carry data classification into AI pipelines. Minimize or mask sensitive fields before they reach a model. Keep tenants separate in indexes, caches, memory and logs, and record data lineage. Never give a model or agent cleartext high-impact secrets (cryptographic keys, key components, passwords) or ask it to generate them or the random values behind them; route cryptography through a key service or HSM interface that exposes only the keys and functions the task needs. Judge the data an AI system can reach by what it could obtain, not what it is meant to use: tokens or encrypted data plus a reachable detokenisation, decryption or access-management path count as cleartext. Show in the data flow diagrams the data stores AI operation creates (prompt and response logs, transcripts, caches, retrieved context, tool results, agent scratchpads, orchestration state) and mask sensitive values before they are written.</t>
  </si>
  <si>
    <t xml:space="preserve">Data flow diagrams; classification and masking rules; tenant isolation tests; lineage records.</t>
  </si>
  <si>
    <t xml:space="preserve">Send labelled sensitive records through the pipeline and confirm masking at each stage. Attempt to read another tenant's data through the AI interface.</t>
  </si>
  <si>
    <t xml:space="preserve">Data Owner / Security Engineering</t>
  </si>
  <si>
    <t xml:space="preserve">AI-CTRL-018</t>
  </si>
  <si>
    <t xml:space="preserve">Retrieval Access Control</t>
  </si>
  <si>
    <t xml:space="preserve">Return only content the requesting user is entitled to see.</t>
  </si>
  <si>
    <t xml:space="preserve">Custom AI Applications / Agents</t>
  </si>
  <si>
    <t xml:space="preserve">AI-R06</t>
  </si>
  <si>
    <t xml:space="preserve">Enforce document-level permissions at query time using the end user's identity. Propagate permission changes to the index promptly. Do not rely on the model to withhold content. Return citations that users can check.</t>
  </si>
  <si>
    <t xml:space="preserve">Permission test results; retrieval logs with source documents; propagation timing.</t>
  </si>
  <si>
    <t xml:space="preserve">Query as users with different entitlements and confirm restricted documents are never retrieved. Revoke access to a document and measure how long it remains retrievable.</t>
  </si>
  <si>
    <t xml:space="preserve">Application Owner</t>
  </si>
  <si>
    <t xml:space="preserve">AI-CTRL-019</t>
  </si>
  <si>
    <t xml:space="preserve">Knowledge Base Integrity</t>
  </si>
  <si>
    <t xml:space="preserve">Stop untrusted or poisoned content from entering the corpus that AI systems retrieve from.</t>
  </si>
  <si>
    <t xml:space="preserve">AI-R05, AI-R08, AI-R17</t>
  </si>
  <si>
    <t xml:space="preserve">Control who and what can write to the corpus. Record the source of every indexed item. Scan ingested content for embedded instructions, and keep the ability to find and remove items by source. Record an owner and a freshness limit for each source, and monitor retrieval quality for drift so that superseded or degraded content is found and removed. Measure the corpus against data quality thresholds for currentness, credibility of source and duplication, so that stale or low-quality content is treated as a defect and not only tampering.</t>
  </si>
  <si>
    <t xml:space="preserve">Ingestion access list; provenance records; ingestion scan results; removal test.</t>
  </si>
  <si>
    <t xml:space="preserve">Add a document with a planted instruction and a false fact through each ingestion path. Confirm it is detected or neutralized, and that it can be traced and removed.</t>
  </si>
  <si>
    <t xml:space="preserve">AI-CTRL-020</t>
  </si>
  <si>
    <t xml:space="preserve">Output Handling</t>
  </si>
  <si>
    <t xml:space="preserve">Treat model output as untrusted input to whatever consumes it.</t>
  </si>
  <si>
    <t xml:space="preserve">Custom AI Applications / AI APIs / Agents</t>
  </si>
  <si>
    <t xml:space="preserve">AI-R05, AI-R06, AI-R24, AI-R26</t>
  </si>
  <si>
    <t xml:space="preserve">Validate and encode output before it is rendered, executed or passed to another system. Restrict what output can trigger, such as links, images and calls. Inspect responses for sensitive data. Treat reasoning traces, intermediate tool output and system instructions as sensitive content. Decide whether each is shown to users or written to logs, apply the same classification as the final output, and test for leakage.</t>
  </si>
  <si>
    <t xml:space="preserve">Output validation rules; response inspection logs; injection test results.</t>
  </si>
  <si>
    <t xml:space="preserve">Induce the model to emit script, markup and command payloads and confirm none executes downstream. Confirm sensitive data in a response is detected.</t>
  </si>
  <si>
    <t xml:space="preserve">AI-CTRL-021</t>
  </si>
  <si>
    <t xml:space="preserve">Multimodal and Voice Input Security</t>
  </si>
  <si>
    <t xml:space="preserve">Apply the same inspection and policy to images, documents, audio and video as to text.</t>
  </si>
  <si>
    <t xml:space="preserve">Browser AI / Custom AI Applications / Agents</t>
  </si>
  <si>
    <t xml:space="preserve">AI-R03, AI-R05</t>
  </si>
  <si>
    <t xml:space="preserve">Inspect non-text inputs for sensitive content and hidden instructions. Do not treat voice as proof of identity for sensitive actions. Govern recordings and transcripts under the retention policy.</t>
  </si>
  <si>
    <t xml:space="preserve">Modality coverage matrix; detection results by modality; recording retention configuration.</t>
  </si>
  <si>
    <t xml:space="preserve">Submit images, documents and audio carrying sensitive data and hidden instructions. Compare detection with the text-channel result for the same content.</t>
  </si>
  <si>
    <t xml:space="preserve">AI-CTRL-022</t>
  </si>
  <si>
    <t xml:space="preserve">Deterministic Action Authorization</t>
  </si>
  <si>
    <t xml:space="preserve">Enforce authority to act, access data or spend money outside the model.</t>
  </si>
  <si>
    <t xml:space="preserve">Agents / Custom AI Applications</t>
  </si>
  <si>
    <t xml:space="preserve">AI-R07, AI-R24</t>
  </si>
  <si>
    <t xml:space="preserve">Place a policy enforcement point between the model and every tool. It authorizes each call with deterministic rules using the real parameters, the acting identity and the end user's rights. Model output is advice, never authority.</t>
  </si>
  <si>
    <t xml:space="preserve">Policy rules; allow and deny logs; architecture review record.</t>
  </si>
  <si>
    <t xml:space="preserve">Instruct a test agent, through injected content, to make a call the policy forbids. Confirm the enforcement point denies it regardless of what the model outputs.</t>
  </si>
  <si>
    <t xml:space="preserve">Security Architecture</t>
  </si>
  <si>
    <t xml:space="preserve">AI-CTRL-023</t>
  </si>
  <si>
    <t xml:space="preserve">Human Approval for Sensitive Actions</t>
  </si>
  <si>
    <t xml:space="preserve">Require a person to approve irreversible or high-impact actions before they run.</t>
  </si>
  <si>
    <t xml:space="preserve">AI-R07, AI-R19</t>
  </si>
  <si>
    <t xml:space="preserve">Define which actions need approval. Show the approver the real parameters and the consequence, not a model-written summary. Record the decision, and guard against approval fatigue by keeping the set of gated actions small.</t>
  </si>
  <si>
    <t xml:space="preserve">List of gated actions; approval logs with parameters shown; rejection samples.</t>
  </si>
  <si>
    <t xml:space="preserve">Trigger a gated action and confirm it does not run without approval. Confirm the approver sees the real parameters and that the decision is logged.</t>
  </si>
  <si>
    <t xml:space="preserve">AI-CTRL-024</t>
  </si>
  <si>
    <t xml:space="preserve">Tool and MCP Server Governance</t>
  </si>
  <si>
    <t xml:space="preserve">Allow agents to use only vetted tools and tool servers, and detect when they change.</t>
  </si>
  <si>
    <t xml:space="preserve">Agents / IDE AI</t>
  </si>
  <si>
    <t xml:space="preserve">AI-R07, AI-R08, AI-R23, AI-R24</t>
  </si>
  <si>
    <t xml:space="preserve">Keep an allow-list of tools, plugins and MCP servers with an owner for each. Validate tool schemas, pin versions, and re-approve when a tool definition changes after approval. The same governance applies to agent skills and plugins: approve them from an allowlist after review, pin the version, check integrity on load and keep a procedure to remove one quickly. Treat tools that can override system or application controls, such as shells, database consoles and administration APIs, as privileged utilities: give them only to named agents that need them, and log every use.</t>
  </si>
  <si>
    <t xml:space="preserve">Tool and MCP server registry; allow-list configuration; change detection alerts.</t>
  </si>
  <si>
    <t xml:space="preserve">Connect an unlisted tool server and confirm it is blocked. Change the description of an approved tool and confirm the change is detected before use.</t>
  </si>
  <si>
    <t xml:space="preserve">AI-CTRL-025</t>
  </si>
  <si>
    <t xml:space="preserve">AI Containment and Kill Switch</t>
  </si>
  <si>
    <t xml:space="preserve">Stop an agent or suspend a high-risk AI model, revoke its access and limit the damage within minutes, with a tested fallback.</t>
  </si>
  <si>
    <t xml:space="preserve">Agents / Custom AI Applications / AI APIs / Vendors</t>
  </si>
  <si>
    <t xml:space="preserve">AI-R07, AI-R11, AI-R21, AI-R25, AI-R55</t>
  </si>
  <si>
    <t xml:space="preserve">Provide a tested way to stop a single agent and to revoke credentials for all agents. Set limits on steps, time and spend per task. Know which actions can be rolled back and how. For every AI use case rated high risk or material, including models that are not agents (for example credit, fraud or pricing models) and third-party AI, name who may suspend it, set the triggers (risk tolerance breached, incident, regulator request), route decisions to a fallback or manual process while it is off, require re-approval before restart, and test activation at least once a year. Where a vendor runs the model, secure the right to have it suspended in the contract. Keep the log of every action the AI system took through containment and rollback; nothing the stop or the reversal does may remove it. Where an agent can reach cleartext payment card data, shut it down automatically (fail secure) on unusual activity such as an attempt to reach a system outside its scope.</t>
  </si>
  <si>
    <t xml:space="preserve">Kill switch procedure; register of kill switches for high-risk use cases with owners, triggers and fallbacks; test records with timings; task limits configuration.</t>
  </si>
  <si>
    <t xml:space="preserve">Start a long-running test agent and stop it. Measure the time until no further actions occur and credentials are invalid. Sample high-risk use cases and confirm each has a kill switch, a fallback and a test within the last year; suspend one model in the lab and confirm decisions route to the fallback.</t>
  </si>
  <si>
    <t xml:space="preserve">AI Platform Team / SOC</t>
  </si>
  <si>
    <t xml:space="preserve">AI-CTRL-026</t>
  </si>
  <si>
    <t xml:space="preserve">Agent Memory and Context Integrity</t>
  </si>
  <si>
    <t xml:space="preserve">Prevent poisoned or cross-user content from persisting in agent memory and context.</t>
  </si>
  <si>
    <t xml:space="preserve">AI-R05, AI-R07, AI-R21</t>
  </si>
  <si>
    <t xml:space="preserve">Separate memory by user and tenant. Record the source of each memory item, apply expiry, and provide a way to inspect and purge memory. Do not let untrusted content write to long-term memory unchecked. Keep an inventory of memory stores with a named owner for each. Write down what each assistant may and may not remember, and enforce it when memory is written. Let users see, correct and delete what is remembered about them, and include memory in data subject access and erasure requests.</t>
  </si>
  <si>
    <t xml:space="preserve">Memory isolation tests; memory provenance records; purge procedure and test; memory store inventory with owners; memory write policy and enforcement results; access and erasure request records that cover memory.</t>
  </si>
  <si>
    <t xml:space="preserve">Plant an instruction in memory through untrusted content and confirm it does not affect a later session. Confirm one user cannot read another's memory.</t>
  </si>
  <si>
    <t xml:space="preserve">AI-CTRL-027</t>
  </si>
  <si>
    <t xml:space="preserve">Agent Execution Isolation</t>
  </si>
  <si>
    <t xml:space="preserve">Run agent-generated code and browser or computer-use sessions in isolation.</t>
  </si>
  <si>
    <t xml:space="preserve">AI-R07, AI-R21, AI-R22, AI-R25, AI-R55</t>
  </si>
  <si>
    <t xml:space="preserve">Execute generated code in a sandbox with no network, filesystem or secrets access by default. Run browser and computer-use agents in a separate profile or container with their own credentials and sessions.</t>
  </si>
  <si>
    <t xml:space="preserve">Sandbox configuration; egress rules; isolation test results.</t>
  </si>
  <si>
    <t xml:space="preserve">Have a test agent run code that tries to reach the network, read secrets and write outside its workspace. Confirm each attempt fails and is logged.</t>
  </si>
  <si>
    <t xml:space="preserve">Platform Engineering</t>
  </si>
  <si>
    <t xml:space="preserve">AI-CTRL-028</t>
  </si>
  <si>
    <t xml:space="preserve">Model Protection</t>
  </si>
  <si>
    <t xml:space="preserve">Protect models from theft, extraction and adversarial inputs.</t>
  </si>
  <si>
    <t xml:space="preserve">PaaS/IaaS/Self-hosted</t>
  </si>
  <si>
    <t xml:space="preserve">AI-R08</t>
  </si>
  <si>
    <t xml:space="preserve">Restrict access to model weights and encrypt them at rest. Limit and monitor inference queries for extraction patterns. Scan models before use, and test robustness for models that make security or safety decisions.</t>
  </si>
  <si>
    <t xml:space="preserve">Model access list; query monitoring rules; model scan reports; robustness test results.</t>
  </si>
  <si>
    <t xml:space="preserve">Run a scripted extraction pattern against a test endpoint and confirm it is detected and throttled. Attempt to read model weights with a non-privileged identity.</t>
  </si>
  <si>
    <t xml:space="preserve">ML Engineering</t>
  </si>
  <si>
    <t xml:space="preserve">AI-CTRL-029</t>
  </si>
  <si>
    <t xml:space="preserve">Training and Fine-Tuning Data Integrity</t>
  </si>
  <si>
    <t xml:space="preserve">Know where training data came from and detect tampering before it shapes a model.</t>
  </si>
  <si>
    <t xml:space="preserve">Custom AI Applications</t>
  </si>
  <si>
    <t xml:space="preserve">Record provenance for every dataset. Verify integrity before each training or fine-tuning run. Screen data for sensitive content and poisoning, and keep the ability to trace a model back to its data. Define a data quality profile for each dataset: choose the quality characteristics that matter for the task (for example completeness, accuracy, balance and representativeness, as named in ISO/IEC 5259-2), set a measured threshold for each, and have the data owner approve them. Check the thresholds before each run, and treat labelling quality as part of the profile when data is labelled.</t>
  </si>
  <si>
    <t xml:space="preserve">Dataset provenance records; integrity checks; screening results; model-to-data lineage; approved data quality profile and the measured results for each run.</t>
  </si>
  <si>
    <t xml:space="preserve">Alter a sample of a test dataset and confirm the integrity check fails the run. Trace a deployed model back to the exact dataset versions used.</t>
  </si>
  <si>
    <t xml:space="preserve">ML Engineering / Data Owner</t>
  </si>
  <si>
    <t xml:space="preserve">Before each training run</t>
  </si>
  <si>
    <t xml:space="preserve">AI-CTRL-030</t>
  </si>
  <si>
    <t xml:space="preserve">ML Pipeline and Model Registry Security</t>
  </si>
  <si>
    <t xml:space="preserve">Protect the pipeline that builds, stores and releases models and prompts.</t>
  </si>
  <si>
    <t xml:space="preserve">Sign model artifacts and verify signatures at deployment. Restrict who can write to the registry. Gate releases on security tests, and version models, prompts and configuration together.</t>
  </si>
  <si>
    <t xml:space="preserve">Signing configuration; registry access list; release gate results; version history.</t>
  </si>
  <si>
    <t xml:space="preserve">Attempt to deploy an unsigned or altered artifact and confirm it is rejected. Confirm a failed security test blocks a release.</t>
  </si>
  <si>
    <t xml:space="preserve">MLOps / DevSecOps</t>
  </si>
  <si>
    <t xml:space="preserve">AI-CTRL-031</t>
  </si>
  <si>
    <t xml:space="preserve">AI Supply Chain and AI-BOM</t>
  </si>
  <si>
    <t xml:space="preserve">Know exactly which models, datasets, packages and prompts run in each environment.</t>
  </si>
  <si>
    <t xml:space="preserve">Custom AI Applications / Agents / IDE AI / Vendors</t>
  </si>
  <si>
    <t xml:space="preserve">AI-R08, AI-R16, AI-R23</t>
  </si>
  <si>
    <t xml:space="preserve">Maintain an AI bill of materials per system. Take models and packages only from approved sources, verify provenance, and scan them. Re-run security tests when any component changes, including a provider-side model update. Pin model versions rather than using floating aliases such as "latest", and track provider deprecation and change notices so that a model change is a reviewed change. Record in the AI-BOM the model and version, harness and orchestration components, where it is hosted and who runs it, the data and systems it can reach with the restrictions on them, the provider's data use and retention terms, and the intended users and use cases. Authorise, list and monitor for tampering any AI script or widget loaded on a payment page, as for any other page script.</t>
  </si>
  <si>
    <t xml:space="preserve">AI-BOM; approved source list; scan reports; change-triggered test records.</t>
  </si>
  <si>
    <t xml:space="preserve">Compare the AI-BOM of a sampled system with what is deployed. Introduce a component from an unapproved source and confirm it is blocked or flagged.</t>
  </si>
  <si>
    <t xml:space="preserve">AI-CTRL-032</t>
  </si>
  <si>
    <t xml:space="preserve">AI Infrastructure Hardening</t>
  </si>
  <si>
    <t xml:space="preserve">Harden and segment the infrastructure that trains and serves models.</t>
  </si>
  <si>
    <t xml:space="preserve">AI-R08, AI-R10</t>
  </si>
  <si>
    <t xml:space="preserve">Separate experimentation, training, evaluation and production. Isolate model runtimes at the network level and allow only required egress. Manage secrets centrally, and isolate tenants on shared GPUs. Set security requirements for the model APIs and other network services that AI systems call, including authentication, encryption in transit and the endpoints allowed, and monitor them.</t>
  </si>
  <si>
    <t xml:space="preserve">Network segmentation rules; secrets management configuration; hardening baseline; isolation tests.</t>
  </si>
  <si>
    <t xml:space="preserve">Attempt to reach production data from the experimentation environment and to open unapproved egress from a model runtime. Confirm both fail.</t>
  </si>
  <si>
    <t xml:space="preserve">AI-CTRL-033</t>
  </si>
  <si>
    <t xml:space="preserve">AI Security Review and Release Gate</t>
  </si>
  <si>
    <t xml:space="preserve">Review every AI system against its threats before production and after material change.</t>
  </si>
  <si>
    <t xml:space="preserve">Custom AI Applications / Agents / Vendors</t>
  </si>
  <si>
    <t xml:space="preserve">AI-R05, AI-R07, AI-R08, AI-R14, AI-R16, AI-R55</t>
  </si>
  <si>
    <t xml:space="preserve">Threat model each system: assets, trust boundaries, worst-case output and maximum damage. Select controls from this library by risk tier. Record open risks and exceptions, and require sign-off before release. When an agent changes production systems, each change carries the same record as a person's change: reason, security impact, approval by an authorised person, test results and a rollback that was tested before approval. Set documented objectives for responsible development, such as security, privacy, reliability and fairness targets, and use them as release criteria.</t>
  </si>
  <si>
    <t xml:space="preserve">Threat models; architecture review records; control selection; approvals and exceptions; responsible development objectives.</t>
  </si>
  <si>
    <t xml:space="preserve">Sample production systems and confirm each has a current threat model, a control selection that matches its tier and a signed approval.</t>
  </si>
  <si>
    <t xml:space="preserve">Before each release and annually</t>
  </si>
  <si>
    <t xml:space="preserve">AI-CTRL-034</t>
  </si>
  <si>
    <t xml:space="preserve">Adversarial Testing and Continuous Evaluation</t>
  </si>
  <si>
    <t xml:space="preserve">Test AI systems against attacks before release and continuously afterwards.</t>
  </si>
  <si>
    <t xml:space="preserve">AI-R05, AI-R07, AI-R16, AI-R17, AI-R20</t>
  </si>
  <si>
    <t xml:space="preserve">Red team each system against defined threat cases before release. Run a regression suite in the pipeline and whenever the model, prompt, tools or data change. The risk owner sets the acceptable attack success rate in writing. Re-run the regression suite whenever the model version, prompt, retrieval source or guardrail changes, including changes made by the provider, and set a tolerance for run-to-run output variation. Review each system's behaviour against its defined parameters at least quarterly, or at a frequency set by a documented risk analysis, and re-validate before go-live and after any change. Where an AI reviewer replaces manual code review, measure its detection rate on seeded flaws and re-measure when its model or configuration changes. Track AI threat intelligence, such as new MITRE ATLAS techniques, published incidents and provider advisories, and add relevant techniques to the threat cases and regression suite. Before testing a production system, agree the scope, timing and safeguards with its owner, and use test accounts and test data.</t>
  </si>
  <si>
    <t xml:space="preserve">Red team reports; regression suite results; agreed thresholds; retest records; threat intelligence review log; production test authorisations.</t>
  </si>
  <si>
    <t xml:space="preserve">Confirm the last model or prompt change triggered the regression suite. Reproduce a sample of reported findings and confirm fixes hold.</t>
  </si>
  <si>
    <t xml:space="preserve">AI Red Team / AppSec</t>
  </si>
  <si>
    <t xml:space="preserve">Before each release and continuously</t>
  </si>
  <si>
    <t xml:space="preserve">AI-CTRL-035</t>
  </si>
  <si>
    <t xml:space="preserve">AI Incident Response and Forensics</t>
  </si>
  <si>
    <t xml:space="preserve">Detect, contain, investigate and recover from AI security incidents.</t>
  </si>
  <si>
    <t xml:space="preserve">AI-R09, AI-R20</t>
  </si>
  <si>
    <t xml:space="preserve">Maintain AI-specific playbooks and an incident taxonomy. Preserve state needed for investigation: prompts, context, index snapshots, memory and model version. Define containment options and how to work with the model provider. Include AI failure scenarios in the incident response plan and its tests, even before one has caused a loss: successful prompt injection, model poisoning, an agent acting outside its defined scope, and shadow AI found with access to sensitive data.</t>
  </si>
  <si>
    <t xml:space="preserve">Playbooks; exercise records; preserved-state checklist; provider contact and escalation path.</t>
  </si>
  <si>
    <t xml:space="preserve">Run a tabletop or lab exercise for a prompt injection incident. Confirm the interaction can be replayed, scoped and contained using the playbook.</t>
  </si>
  <si>
    <t xml:space="preserve">SOC / Incident Response</t>
  </si>
  <si>
    <t xml:space="preserve">Annually and after each incident</t>
  </si>
  <si>
    <t xml:space="preserve">AI-CTRL-036</t>
  </si>
  <si>
    <t xml:space="preserve">AI Cost and Abuse Controls</t>
  </si>
  <si>
    <t xml:space="preserve">Attribute AI spend and stop abuse that exhausts budget or capacity.</t>
  </si>
  <si>
    <t xml:space="preserve">AI-R11</t>
  </si>
  <si>
    <t xml:space="preserve">Attribute usage to team, application, user and key. Set budgets, rate limits and quotas with enforcement. Detect spend anomalies and leaked keys, and limit loops and retries in agents.</t>
  </si>
  <si>
    <t xml:space="preserve">Cost attribution reports; budget and quota configuration; anomaly alerts; key revocation records.</t>
  </si>
  <si>
    <t xml:space="preserve">Drive a test key past its budget and confirm enforcement. Simulate a traffic spike on a public endpoint and confirm detection and throttling.</t>
  </si>
  <si>
    <t xml:space="preserve">FinOps / AI Platform Team</t>
  </si>
  <si>
    <t xml:space="preserve">AI-CTRL-037</t>
  </si>
  <si>
    <t xml:space="preserve">AI Risk Assessment and Exception Management</t>
  </si>
  <si>
    <t xml:space="preserve">Assess, treat and accept AI risks consistently, and keep every exception owned and time-bound.</t>
  </si>
  <si>
    <t xml:space="preserve">AI-R02, AI-R18, AI-R28, AI-R55</t>
  </si>
  <si>
    <t xml:space="preserve">Keep an AI risk register with an owner and a score for every risk. Use one scoring method so that different assessors reach the same result. Accept residual risk only at the right authority level. Give every exception an owner, a compensating control and an expiry date that the technical control enforces. Allow for attackers who use AI: set remediation and exception time limits for exposed systems on the assumption that a disclosed vulnerability can be exploited within days, and size vulnerability triage for a higher volume of findings (AI-R55).</t>
  </si>
  <si>
    <t xml:space="preserve">AI risk register; treatment plans; risk acceptance records; exception register with expiry dates.</t>
  </si>
  <si>
    <t xml:space="preserve">Sample accepted risks and confirm the approver had the authority. Let a test exception expire and confirm the technical control blocks the activity again.</t>
  </si>
  <si>
    <t xml:space="preserve">Cyber Risk / GRC</t>
  </si>
  <si>
    <t xml:space="preserve">AI-CTRL-038</t>
  </si>
  <si>
    <t xml:space="preserve">Control Assurance and Audit Evidence</t>
  </si>
  <si>
    <t xml:space="preserve">Show, with current evidence, that each AI control is operating and that findings are closed.</t>
  </si>
  <si>
    <t xml:space="preserve">AI-R09, AI-R15, AI-R28</t>
  </si>
  <si>
    <t xml:space="preserve">Measure control effectiveness on a schedule. Collect evidence automatically where possible and record its age. Have control owners attest periodically. Track findings to verified closure, and protect governance records from silent change.</t>
  </si>
  <si>
    <t xml:space="preserve">Control effectiveness results; evidence packs with collection dates; owner attestations; findings log; record change history.</t>
  </si>
  <si>
    <t xml:space="preserve">Request an evidence pack for a sampled control at short notice and check that the evidence is current. Confirm a closed finding was verified before closure.</t>
  </si>
  <si>
    <t xml:space="preserve">GRC / Internal Audit</t>
  </si>
  <si>
    <t xml:space="preserve">AI-CTRL-039</t>
  </si>
  <si>
    <t xml:space="preserve">Output Reliability and Content Safety</t>
  </si>
  <si>
    <t xml:space="preserve">Keep AI output grounded, within its approved scope and free of harmful content.</t>
  </si>
  <si>
    <t xml:space="preserve">Custom AI Applications / AI APIs / IDE AI</t>
  </si>
  <si>
    <t xml:space="preserve">AI-R12, AI-R14, AI-R20</t>
  </si>
  <si>
    <t xml:space="preserve">Ground answers in approved sources and verify citations. Restrict assistants to their approved topics. Filter harmful and policy-violating output. Detect fabricated packages, links and references before users act on them, and measure factual accuracy against a baseline.</t>
  </si>
  <si>
    <t xml:space="preserve">Grounding and citation test results; topic policy; harmful content filter results; factuality baseline.</t>
  </si>
  <si>
    <t xml:space="preserve">Ask questions the sources cannot answer and confirm the assistant says so. Confirm fabricated package names and links are flagged, and off-topic requests are refused.</t>
  </si>
  <si>
    <t xml:space="preserve">Application Owner / AppSec</t>
  </si>
  <si>
    <t xml:space="preserve">AI-CTRL-040</t>
  </si>
  <si>
    <t xml:space="preserve">AI Service Resilience and Fail-Safe Operation</t>
  </si>
  <si>
    <t xml:space="preserve">Keep AI services and their security controls available, and make them fail safely.</t>
  </si>
  <si>
    <t xml:space="preserve">AI APIs / Custom AI Applications / Agents / Vendors</t>
  </si>
  <si>
    <t xml:space="preserve">AI-R13, AI-R16</t>
  </si>
  <si>
    <t xml:space="preserve">Decide for each control whether it fails open or closed, and test it. Measure the latency and quality cost of controls so that teams do not remove them. Provide failover that keeps guardrails, residency and logging intact. Keep tested fallback paths for AI-dependent processes, tested backups and an exit plan for each provider. Detect silent failure of controls.</t>
  </si>
  <si>
    <t xml:space="preserve">Fail-mode test results; latency and load measurements; failover and restore tests; continuity and exit plans; health monitoring alerts.</t>
  </si>
  <si>
    <t xml:space="preserve">Disable the protection layer in the lab and confirm the documented fail mode. Fail over to the secondary model or region and confirm policy, logging and residency still hold.</t>
  </si>
  <si>
    <t xml:space="preserve">Platform Engineering / Application Owner</t>
  </si>
  <si>
    <t xml:space="preserve">AI-CTRL-041</t>
  </si>
  <si>
    <t xml:space="preserve">Fairness, Bias Testing and Explainability</t>
  </si>
  <si>
    <t xml:space="preserve">Test AI systems that make or support high-impact decisions for unfair bias, and keep explanations that a person can understand and a reviewer can challenge.</t>
  </si>
  <si>
    <t xml:space="preserve">AI-R12, AI-R14, AI-R15</t>
  </si>
  <si>
    <t xml:space="preserve">Define which decisions are high-impact. Identify the relevant groups with legal input. Test for bias before release, at least annually and on material model change, and record the method, data, thresholds, results and approvals. Where sensitive data is needed for testing, record why it is necessary and the safeguards. Tell customers before an AI-powered service is provided that AI is used and what its main risks and limits are, in plain language. Give an explanation for each high-impact decision and a route to human review. Block or condition release when a threshold fails. Keep a versioned bias profile for each system that records which differences in treatment are intended and which are not, the stakeholder groups considered, how representative the test data is, the risks accepted and who accepted them, and the application boundaries within which the system was validated; monitor for drift outside them.</t>
  </si>
  <si>
    <t xml:space="preserve">Bias test plan and results; customer AI-use notices; threshold approvals; necessity record for sensitive data; explanation records; human-review log; retest evidence; current bias profile with its validated application boundaries.</t>
  </si>
  <si>
    <t xml:space="preserve">Sample high-impact use cases and confirm a current bias test exists. Re-perform one test. Trace one decision to its explanation and review outcome. Confirm a failed result led to action.</t>
  </si>
  <si>
    <t xml:space="preserve">AI Governance Lead / Model Risk</t>
  </si>
  <si>
    <t xml:space="preserve">Annually and on material model change</t>
  </si>
  <si>
    <t xml:space="preserve">AI-CTRL-042</t>
  </si>
  <si>
    <t xml:space="preserve">Fundamental Rights and Data Protection Impact Assessment</t>
  </si>
  <si>
    <t xml:space="preserve">Assess the impact on people's rights before deploying AI that is high-risk or that puts personal data at risk, and keep the assessment current.</t>
  </si>
  <si>
    <t xml:space="preserve">AI-R10, AI-R12, AI-R28</t>
  </si>
  <si>
    <t xml:space="preserve">Run a combined data protection and fundamental rights impact assessment before go-live for in-scope systems. Record purpose, data, groups affected, risks, oversight, mitigation, consultation and decision. Include intended and reasonably foreseeable unintended uses and misuse, the deployment regions and languages, the data and its quality, and benefits as well as harms, as listed in ISO/IEC 42005:2025 clause 6. Record the data protection officer's advice and how it was handled. Reassess on material change and at least annually.</t>
  </si>
  <si>
    <t xml:space="preserve">Completed assessments; data protection officer advice; approvals dated before go-live; review dates; reassessment records.</t>
  </si>
  <si>
    <t xml:space="preserve">Sample in-scope systems and confirm the assessment predates go-live. Check that each risk maps to a mitigation. Confirm that the last material change triggered a reassessment.</t>
  </si>
  <si>
    <t xml:space="preserve">Data Protection Officer / AI Governance Lead</t>
  </si>
  <si>
    <t xml:space="preserve">Before deployment, annually and on material change</t>
  </si>
  <si>
    <t xml:space="preserve">AI-CTRL-043</t>
  </si>
  <si>
    <t xml:space="preserve">Regulator and Authority Engagement</t>
  </si>
  <si>
    <t xml:space="preserve">Know which authorities oversee each AI system, meet the registration, filing and notification duties they set, and keep a record of every contact.</t>
  </si>
  <si>
    <t xml:space="preserve">AI-R09, AI-R10</t>
  </si>
  <si>
    <t xml:space="preserve">Keep a register of the authorities and ethics bodies relevant to each AI system and jurisdiction, with the duties each one sets and an owner for each duty. Track filings, registrations and local representative appointments to their due dates. Log every contact and its outcome. Watch for new guidance and pending rules, and review the register on a schedule. Keep contact with AI security interest groups and information-sharing communities, and record what is shared with them.</t>
  </si>
  <si>
    <t xml:space="preserve">Authority register; filing and registration records; representative appointments; contact log; watchlist of pending rules.</t>
  </si>
  <si>
    <t xml:space="preserve">Sample AI systems and confirm each lists its authorities and duties. Trace one filing or notification to its due date and evidence. Confirm the register was reviewed in the period.</t>
  </si>
  <si>
    <t xml:space="preserve">Legal / Compliance</t>
  </si>
  <si>
    <t xml:space="preserve">AI-CTRL-044</t>
  </si>
  <si>
    <t xml:space="preserve">AI Literacy and Role-Based Competence</t>
  </si>
  <si>
    <t xml:space="preserve">Give everyone who builds, operates, oversees or uses AI the knowledge their role needs, and keep the records that show it.</t>
  </si>
  <si>
    <t xml:space="preserve">AI-R02, AI-R19</t>
  </si>
  <si>
    <t xml:space="preserve">Define the knowledge each role group needs, from board members to human reviewers and contractors. Deliver role-based training on a schedule and when a role or a system changes. Record completion and results. Check that the training works, for example through scenario tests and reviewer override rates.</t>
  </si>
  <si>
    <t xml:space="preserve">Role and needs matrix; programme and modules; completion records; effectiveness checks.</t>
  </si>
  <si>
    <t xml:space="preserve">Sample staff in three role groups and confirm each completed training that matches the role. Confirm human reviewers were trained before they were assigned. Review one effectiveness check.</t>
  </si>
  <si>
    <t xml:space="preserve">AI Governance Lead / HR</t>
  </si>
  <si>
    <t xml:space="preserve">Annually and on role change</t>
  </si>
  <si>
    <t xml:space="preserve">AI-CTRL-045</t>
  </si>
  <si>
    <t xml:space="preserve">Human Oversight Design and Effectiveness</t>
  </si>
  <si>
    <t xml:space="preserve">Design human review so the people named as overseers can understand, challenge, override and stop an AI system, and show with measures that they do.</t>
  </si>
  <si>
    <t xml:space="preserve">AI-R07, AI-R12, AI-R14, AI-R18, AI-R19, AI-R28</t>
  </si>
  <si>
    <t xml:space="preserve">Set, by risk tier, where a person must review, approve or be able to intervene: before the output is used, while the system runs, and after the fact by sampling. Give each overseer the evidence behind the output (sources, confidence, alternatives) and not only the result, the authority and time to override, and training that matches the role (AI-CTRL-044). Keep the volume per reviewer low enough to be reviewed, and give overseers a way to stop or roll back the system (AI-CTRL-025). Measure effectiveness: override and escalation rates, time per review, results of independent re-review of a sample, and detection of seeded errors. Reassess the design when the measures show rubber-stamping. This control covers oversight of AI-assisted decisions in general; AI-CTRL-023 gates specific irreversible agent actions. Before an agent may act without per-action approval (a person over the loop rather than in it), record and approve: why per-action approval is not workable, the responsible person and why they are suited, which actions run without approval, the minimum privileges, how output is validated, how actions are logged and how often logs are reviewed, how the agent is disabled and on what triggers, and how its actions are reversed. Keep per-action approval for any action involving cleartext payment card data.</t>
  </si>
  <si>
    <t xml:space="preserve">Oversight design record per in-scope use case; overseer roles, authority and training records; sampled re-review results; override and escalation metrics; seeded-error test results.</t>
  </si>
  <si>
    <t xml:space="preserve">Select a high-tier use case and compare the oversight points in operation with the design record. Interview two overseers about the evidence they see and their authority to override. Submit a set of known-wrong outputs and measure how many are caught. Confirm the overseers can stop the system and that override metrics are reviewed.</t>
  </si>
  <si>
    <t xml:space="preserve">AI Governance Lead / Application Owner</t>
  </si>
  <si>
    <t xml:space="preserve">Semi-annually and on material change</t>
  </si>
  <si>
    <t xml:space="preserve">EU AI Act Article 14 (Human Oversight) and Article 26(2) (deployers assign oversight to competent, trained people with authority and support); GDPR Article 22 (Automated individual decision-making, including profiling). GCC: see rows U3, U6, U9 and Q4 of the GCC AI Regulatory Hub. Article titles and paragraph content were checked on 10 October 2026 against a secondary source (artificialintelligenceact.eu) that shows amended text; check the Official Journal text before citing.</t>
  </si>
  <si>
    <t xml:space="preserve">AI-CTRL-046</t>
  </si>
  <si>
    <t xml:space="preserve">Intellectual Property and Copyright Governance</t>
  </si>
  <si>
    <t xml:space="preserve">Control the intellectual property and copyright exposure of AI inputs, outputs and training data.</t>
  </si>
  <si>
    <t xml:space="preserve">Browser AI / IDE AI / AI APIs / Custom AI Applications / Vendors</t>
  </si>
  <si>
    <t xml:space="preserve">AI-R27</t>
  </si>
  <si>
    <t xml:space="preserve">Set a policy on what third-party copyrighted or licensed material staff may submit to AI tools, and on how AI output may be used in products, code and publications. Review vendor terms for ownership of output, indemnity for infringement claims and use of inputs for training. Record the source and licence of training and fine-tuning data (AI-CTRL-029). Where policy requires, scan AI-generated code and content for licence and similarity matches before release. Record exceptions with an owner and an expiry date.</t>
  </si>
  <si>
    <t xml:space="preserve">IP and acceptable-use policy; vendor terms review; training data provenance and licence records; scan results; exception log.</t>
  </si>
  <si>
    <t xml:space="preserve">Sample vendors and confirm the terms were reviewed for output ownership and indemnity. Sample released AI-generated artefacts and confirm a scan result or a documented exception. Sample fine-tuning datasets and confirm source and licence are recorded.</t>
  </si>
  <si>
    <t xml:space="preserve">Annually and when vendor terms change</t>
  </si>
  <si>
    <t xml:space="preserve">EU AI Act Article 53(1): providers of general-purpose AI models keep a copyright compliance policy and publish a summary of training content (checked on 10 October 2026 against artificialintelligenceact.eu, a secondary source). GCC: row S9 of the GCC AI Regulatory Hub (Saudi copyright exception for text and data mining, tagged [Reported]).</t>
  </si>
  <si>
    <t xml:space="preserve">Coverage by Framework</t>
  </si>
  <si>
    <t xml:space="preserve">How much of each framework your implemented controls cover. Set Implementation Status on Control Library to fill this in.</t>
  </si>
  <si>
    <t xml:space="preserve">Framework</t>
  </si>
  <si>
    <t xml:space="preserve">Category</t>
  </si>
  <si>
    <t xml:space="preserve">Items</t>
  </si>
  <si>
    <t xml:space="preserve">Items with a wiki control</t>
  </si>
  <si>
    <t xml:space="preserve">Fully covered</t>
  </si>
  <si>
    <t xml:space="preserve">Partly covered</t>
  </si>
  <si>
    <t xml:space="preserve">Not covered</t>
  </si>
  <si>
    <t xml:space="preserve">Fully covered %</t>
  </si>
  <si>
    <t xml:space="preserve">FINOS AIGF risks</t>
  </si>
  <si>
    <t xml:space="preserve">Risk frameworks</t>
  </si>
  <si>
    <t xml:space="preserve">FINOS AIGF mitigations</t>
  </si>
  <si>
    <t xml:space="preserve">AI Risk Map v1.3</t>
  </si>
  <si>
    <t xml:space="preserve">NIST AI RMF 1.0</t>
  </si>
  <si>
    <t xml:space="preserve">NIST AI 600-1 GenAI Profile</t>
  </si>
  <si>
    <t xml:space="preserve">AI BCF</t>
  </si>
  <si>
    <t xml:space="preserve">OWASP LLM Top 10 (2025)</t>
  </si>
  <si>
    <t xml:space="preserve">AI security</t>
  </si>
  <si>
    <t xml:space="preserve">OWASP Agentic Top 10</t>
  </si>
  <si>
    <t xml:space="preserve">OWASP MCP Top 10</t>
  </si>
  <si>
    <t xml:space="preserve">MITRE ATLAS techniques</t>
  </si>
  <si>
    <t xml:space="preserve">MITRE ATLAS mitigations</t>
  </si>
  <si>
    <t xml:space="preserve">NIST AI 100-2 (adversarial ML)</t>
  </si>
  <si>
    <t xml:space="preserve">ISO/IEC 42001 Annex A</t>
  </si>
  <si>
    <t xml:space="preserve">ISO/IEC standards</t>
  </si>
  <si>
    <t xml:space="preserve">ISO/IEC 42001 clauses</t>
  </si>
  <si>
    <t xml:space="preserve">ISO/IEC 27001:2022 Annex A</t>
  </si>
  <si>
    <t xml:space="preserve">ISO/IEC 27001 clauses</t>
  </si>
  <si>
    <t xml:space="preserve">ISO/IEC 23894</t>
  </si>
  <si>
    <t xml:space="preserve">ISO/IEC 42005</t>
  </si>
  <si>
    <t xml:space="preserve">ISO/IEC 42006</t>
  </si>
  <si>
    <t xml:space="preserve">ISO/IEC 38507</t>
  </si>
  <si>
    <t xml:space="preserve">ISO/IEC TR 24028</t>
  </si>
  <si>
    <t xml:space="preserve">ISO/IEC 5338</t>
  </si>
  <si>
    <t xml:space="preserve">ISO/IEC 23053</t>
  </si>
  <si>
    <t xml:space="preserve">ISO/IEC 22989</t>
  </si>
  <si>
    <t xml:space="preserve">ISO/IEC 5259</t>
  </si>
  <si>
    <t xml:space="preserve">NIST CSF</t>
  </si>
  <si>
    <t xml:space="preserve">Security baselines</t>
  </si>
  <si>
    <t xml:space="preserve">CIS Controls</t>
  </si>
  <si>
    <t xml:space="preserve">SOC 2</t>
  </si>
  <si>
    <t xml:space="preserve">NIST SSDF and SP 800-218A</t>
  </si>
  <si>
    <t xml:space="preserve">PCI DSS v4.0.1 requirements (AI)</t>
  </si>
  <si>
    <t xml:space="preserve">PCI SSC AI guidance themes</t>
  </si>
  <si>
    <t xml:space="preserve">OECD AI Principles</t>
  </si>
  <si>
    <t xml:space="preserve">Ethics and principles</t>
  </si>
  <si>
    <t xml:space="preserve">EU Ethics Guidelines</t>
  </si>
  <si>
    <t xml:space="preserve">UNESCO Recommendation</t>
  </si>
  <si>
    <t xml:space="preserve">IEEE 7000-series</t>
  </si>
  <si>
    <t xml:space="preserve">Council of Europe AI Convention</t>
  </si>
  <si>
    <t xml:space="preserve">International instruments</t>
  </si>
  <si>
    <t xml:space="preserve">G7 Hiroshima Code</t>
  </si>
  <si>
    <t xml:space="preserve">Privacy laws (8 laws)</t>
  </si>
  <si>
    <t xml:space="preserve">Privacy and regulation</t>
  </si>
  <si>
    <t xml:space="preserve">GCC regulation</t>
  </si>
  <si>
    <t xml:space="preserve">EU regulation</t>
  </si>
  <si>
    <t xml:space="preserve">UK regulation</t>
  </si>
  <si>
    <t xml:space="preserve">US regulation</t>
  </si>
  <si>
    <t xml:space="preserve">Australia regulation</t>
  </si>
  <si>
    <t xml:space="preserve">Brazil regulation</t>
  </si>
  <si>
    <t xml:space="preserve">Canada regulation</t>
  </si>
  <si>
    <t xml:space="preserve">China regulation</t>
  </si>
  <si>
    <t xml:space="preserve">India regulation</t>
  </si>
  <si>
    <t xml:space="preserve">Japan regulation</t>
  </si>
  <si>
    <t xml:space="preserve">Singapore regulation (incl. MAS)</t>
  </si>
  <si>
    <t xml:space="preserve">South Korea regulation</t>
  </si>
  <si>
    <t xml:space="preserve">Hong Kong regulation (incl. HKMA)</t>
  </si>
  <si>
    <t xml:space="preserve">973 items from the wiki's framework, standard, ethics, international and regional regulatory crosswalks, each with its wiki controls. Implementation coverage uses the statuses on Control Library.</t>
  </si>
  <si>
    <t xml:space="preserve">Item</t>
  </si>
  <si>
    <t xml:space="preserve">Item Title or Detail</t>
  </si>
  <si>
    <t xml:space="preserve">Wiki Controls</t>
  </si>
  <si>
    <t xml:space="preserve">How Controls Were Linked</t>
  </si>
  <si>
    <t xml:space="preserve">Wiki Risks</t>
  </si>
  <si>
    <t xml:space="preserve">Wiki Match or Coverage</t>
  </si>
  <si>
    <t xml:space="preserve">Controls Mapped</t>
  </si>
  <si>
    <t xml:space="preserve">Controls Implemented</t>
  </si>
  <si>
    <t xml:space="preserve">Source Page</t>
  </si>
  <si>
    <t xml:space="preserve">AIR-OP-004</t>
  </si>
  <si>
    <t xml:space="preserve">Hallucination and Inaccurate Outputs</t>
  </si>
  <si>
    <t xml:space="preserve">AI-CTRL-039, AI-CTRL-041, AI-CTRL-042, AI-CTRL-045</t>
  </si>
  <si>
    <t xml:space="preserve">Derived via mapped risks</t>
  </si>
  <si>
    <t xml:space="preserve">AI-R12</t>
  </si>
  <si>
    <t xml:space="preserve">Direct</t>
  </si>
  <si>
    <t xml:space="preserve">FINOS AI Governance Framework Crosswalk</t>
  </si>
  <si>
    <t xml:space="preserve">AIR-OP-005</t>
  </si>
  <si>
    <t xml:space="preserve">Foundation Model Versioning</t>
  </si>
  <si>
    <t xml:space="preserve">AI-CTRL-014, AI-CTRL-031, AI-CTRL-033, AI-CTRL-034, AI-CTRL-040</t>
  </si>
  <si>
    <t xml:space="preserve">AI-R16</t>
  </si>
  <si>
    <t xml:space="preserve">AIR-OP-006</t>
  </si>
  <si>
    <t xml:space="preserve">Non-Deterministic Behaviour</t>
  </si>
  <si>
    <t xml:space="preserve">AIR-OP-007</t>
  </si>
  <si>
    <t xml:space="preserve">Availability of Foundational Model</t>
  </si>
  <si>
    <t xml:space="preserve">AI-R13</t>
  </si>
  <si>
    <t xml:space="preserve">AIR-OP-014</t>
  </si>
  <si>
    <t xml:space="preserve">Inadequate System Alignment</t>
  </si>
  <si>
    <t xml:space="preserve">AI-CTRL-011, AI-CTRL-012, AI-CTRL-037, AI-CTRL-045</t>
  </si>
  <si>
    <t xml:space="preserve">AI-R18</t>
  </si>
  <si>
    <t xml:space="preserve">Partial</t>
  </si>
  <si>
    <t xml:space="preserve">AIR-OP-016</t>
  </si>
  <si>
    <t xml:space="preserve">Bias and Discrimination</t>
  </si>
  <si>
    <t xml:space="preserve">AI-CTRL-033, AI-CTRL-039, AI-CTRL-041, AI-CTRL-045</t>
  </si>
  <si>
    <t xml:space="preserve">AI-R14</t>
  </si>
  <si>
    <t xml:space="preserve">AIR-OP-017</t>
  </si>
  <si>
    <t xml:space="preserve">Lack of Explainability</t>
  </si>
  <si>
    <t xml:space="preserve">AI-CTRL-008, AI-CTRL-038, AI-CTRL-041</t>
  </si>
  <si>
    <t xml:space="preserve">AI-R15</t>
  </si>
  <si>
    <t xml:space="preserve">AIR-OP-018</t>
  </si>
  <si>
    <t xml:space="preserve">Model Overreach / Expanded Use</t>
  </si>
  <si>
    <t xml:space="preserve">AIR-OP-019</t>
  </si>
  <si>
    <t xml:space="preserve">Data Quality and Drift</t>
  </si>
  <si>
    <t xml:space="preserve">AI-CTRL-017, AI-CTRL-019, AI-CTRL-034</t>
  </si>
  <si>
    <t xml:space="preserve">AI-R17</t>
  </si>
  <si>
    <t xml:space="preserve">AIR-OP-020</t>
  </si>
  <si>
    <t xml:space="preserve">Reputational Risk</t>
  </si>
  <si>
    <t xml:space="preserve">AI-CTRL-034, AI-CTRL-035, AI-CTRL-039</t>
  </si>
  <si>
    <t xml:space="preserve">AI-R20</t>
  </si>
  <si>
    <t xml:space="preserve">AIR-OP-028</t>
  </si>
  <si>
    <t xml:space="preserve">Multi-Agent Trust Boundary Violations</t>
  </si>
  <si>
    <t xml:space="preserve">AI-CTRL-006, AI-CTRL-015, AI-CTRL-025, AI-CTRL-027</t>
  </si>
  <si>
    <t xml:space="preserve">AI-R25</t>
  </si>
  <si>
    <t xml:space="preserve">AIR-RC-001</t>
  </si>
  <si>
    <t xml:space="preserve">Information Leaked To Hosted Model</t>
  </si>
  <si>
    <t xml:space="preserve">AI-CTRL-002, AI-CTRL-003, AI-CTRL-004, AI-CTRL-007, AI-CTRL-010, AI-CTRL-012, AI-CTRL-013, AI-CTRL-014, AI-CTRL-017, AI-CTRL-021, AI-CTRL-032, AI-CTRL-042, AI-CTRL-043</t>
  </si>
  <si>
    <t xml:space="preserve">AI-R01, AI-R03, AI-R04, AI-R10</t>
  </si>
  <si>
    <t xml:space="preserve">AIR-RC-022</t>
  </si>
  <si>
    <t xml:space="preserve">Regulatory Compliance and Oversight</t>
  </si>
  <si>
    <t xml:space="preserve">AI-CTRL-012, AI-CTRL-013, AI-CTRL-023, AI-CTRL-037, AI-CTRL-038, AI-CTRL-042, AI-CTRL-044, AI-CTRL-045</t>
  </si>
  <si>
    <t xml:space="preserve">AI-R19, AI-R28</t>
  </si>
  <si>
    <t xml:space="preserve">Direct for AI-R28; Partial for AI-R19</t>
  </si>
  <si>
    <t xml:space="preserve">AIR-RC-023</t>
  </si>
  <si>
    <t xml:space="preserve">Intellectual Property (IP) and Copyright</t>
  </si>
  <si>
    <t xml:space="preserve">AI-CTRL-002, AI-CTRL-003, AI-CTRL-012, AI-CTRL-013, AI-CTRL-046</t>
  </si>
  <si>
    <t xml:space="preserve">AIR-SEC-002</t>
  </si>
  <si>
    <t xml:space="preserve">Information Leaked to Vector Store</t>
  </si>
  <si>
    <t xml:space="preserve">AI-CTRL-005, AI-CTRL-016, AI-CTRL-017, AI-CTRL-018, AI-CTRL-020</t>
  </si>
  <si>
    <t xml:space="preserve">AIR-SEC-008</t>
  </si>
  <si>
    <t xml:space="preserve">Tampering With the Foundational Model</t>
  </si>
  <si>
    <t xml:space="preserve">AI-CTRL-014, AI-CTRL-016, AI-CTRL-019, AI-CTRL-024, AI-CTRL-028, AI-CTRL-029, AI-CTRL-030, AI-CTRL-031, AI-CTRL-032, AI-CTRL-033</t>
  </si>
  <si>
    <t xml:space="preserve">AIR-SEC-009</t>
  </si>
  <si>
    <t xml:space="preserve">Data Poisoning</t>
  </si>
  <si>
    <t xml:space="preserve">AIR-SEC-010</t>
  </si>
  <si>
    <t xml:space="preserve">Prompt Injection</t>
  </si>
  <si>
    <t xml:space="preserve">AI-CTRL-005, AI-CTRL-019, AI-CTRL-020, AI-CTRL-021, AI-CTRL-026, AI-CTRL-033, AI-CTRL-034</t>
  </si>
  <si>
    <t xml:space="preserve">AI-R05</t>
  </si>
  <si>
    <t xml:space="preserve">AIR-SEC-024</t>
  </si>
  <si>
    <t xml:space="preserve">Agent Action Authorization Bypass</t>
  </si>
  <si>
    <t xml:space="preserve">AI-CTRL-006, AI-CTRL-015, AI-CTRL-016, AI-CTRL-022, AI-CTRL-023, AI-CTRL-024, AI-CTRL-025, AI-CTRL-026, AI-CTRL-027, AI-CTRL-033, AI-CTRL-034, AI-CTRL-045</t>
  </si>
  <si>
    <t xml:space="preserve">AI-R07</t>
  </si>
  <si>
    <t xml:space="preserve">AIR-SEC-025</t>
  </si>
  <si>
    <t xml:space="preserve">Tool Chain Manipulation and Injection</t>
  </si>
  <si>
    <t xml:space="preserve">AI-CTRL-005, AI-CTRL-020, AI-CTRL-022, AI-CTRL-024</t>
  </si>
  <si>
    <t xml:space="preserve">AI-R24</t>
  </si>
  <si>
    <t xml:space="preserve">AIR-SEC-026</t>
  </si>
  <si>
    <t xml:space="preserve">MCP Server Supply Chain Compromise</t>
  </si>
  <si>
    <t xml:space="preserve">AI-R08, AI-R23</t>
  </si>
  <si>
    <t xml:space="preserve">AIR-SEC-027</t>
  </si>
  <si>
    <t xml:space="preserve">Agent State Persistence Poisoning</t>
  </si>
  <si>
    <t xml:space="preserve">AI-CTRL-025, AI-CTRL-026, AI-CTRL-027</t>
  </si>
  <si>
    <t xml:space="preserve">AI-R21</t>
  </si>
  <si>
    <t xml:space="preserve">AIR-SEC-029</t>
  </si>
  <si>
    <t xml:space="preserve">Agent-Mediated Credential Discovery and Harvesting</t>
  </si>
  <si>
    <t xml:space="preserve">AI-CTRL-004, AI-CTRL-015, AI-CTRL-016, AI-CTRL-027</t>
  </si>
  <si>
    <t xml:space="preserve">AI-R22</t>
  </si>
  <si>
    <t xml:space="preserve">AIR-SEC-030</t>
  </si>
  <si>
    <t xml:space="preserve">Skill/Plugin Supply Chain Compromise</t>
  </si>
  <si>
    <t xml:space="preserve">AI-CTRL-024, AI-CTRL-031</t>
  </si>
  <si>
    <t xml:space="preserve">AI-R23</t>
  </si>
  <si>
    <t xml:space="preserve">AIR-DET-001</t>
  </si>
  <si>
    <t xml:space="preserve">AI Data Leakage Prevention and Detection</t>
  </si>
  <si>
    <t xml:space="preserve">AI-CTRL-002, AI-CTRL-003, AI-CTRL-017</t>
  </si>
  <si>
    <t xml:space="preserve">Wiki maps controls directly</t>
  </si>
  <si>
    <t xml:space="preserve">AI-R01, AI-R03, AI-R06, AI-R17, AI-R27</t>
  </si>
  <si>
    <t xml:space="preserve">AIR-DET-004</t>
  </si>
  <si>
    <t xml:space="preserve">AI System Observability</t>
  </si>
  <si>
    <t xml:space="preserve">AI-CTRL-008, AI-CTRL-009</t>
  </si>
  <si>
    <t xml:space="preserve">AIR-DET-009</t>
  </si>
  <si>
    <t xml:space="preserve">AI System Alerting and Denial of Wallet (DoW) / Spend Monitoring</t>
  </si>
  <si>
    <t xml:space="preserve">AIR-DET-011</t>
  </si>
  <si>
    <t xml:space="preserve">Human Feedback Loop for AI Systems</t>
  </si>
  <si>
    <t xml:space="preserve">AI-CTRL-034, AI-CTRL-045</t>
  </si>
  <si>
    <t xml:space="preserve">AI-R05, AI-R07, AI-R12, AI-R14, AI-R16, AI-R17, AI-R18, AI-R19, AI-R20, AI-R28</t>
  </si>
  <si>
    <t xml:space="preserve">AIR-DET-013</t>
  </si>
  <si>
    <t xml:space="preserve">Providing Citations and Source Traceability for AI-Generated Information</t>
  </si>
  <si>
    <t xml:space="preserve">AIR-DET-015</t>
  </si>
  <si>
    <t xml:space="preserve">Using Large Language Models for Automated Evaluation (LLM-as-a-Judge)</t>
  </si>
  <si>
    <t xml:space="preserve">AI-CTRL-034, AI-CTRL-039</t>
  </si>
  <si>
    <t xml:space="preserve">AI-R05, AI-R07, AI-R12, AI-R14, AI-R16, AI-R17, AI-R20</t>
  </si>
  <si>
    <t xml:space="preserve">AIR-DET-016</t>
  </si>
  <si>
    <t xml:space="preserve">Preserving Source Data Access Controls in AI Systems</t>
  </si>
  <si>
    <t xml:space="preserve">AIR-DET-021</t>
  </si>
  <si>
    <t xml:space="preserve">Agent Decision Audit and Explainability</t>
  </si>
  <si>
    <t xml:space="preserve">AI-R09, AI-R12, AI-R14, AI-R15, AI-R26, AI-R28</t>
  </si>
  <si>
    <t xml:space="preserve">AIR-PREV-002</t>
  </si>
  <si>
    <t xml:space="preserve">Data Filtering From External Knowledge Bases</t>
  </si>
  <si>
    <t xml:space="preserve">AIR-PREV-003</t>
  </si>
  <si>
    <t xml:space="preserve">User/App/Model Firewalling/Filtering</t>
  </si>
  <si>
    <t xml:space="preserve">AI-CTRL-005, AI-CTRL-020</t>
  </si>
  <si>
    <t xml:space="preserve">AIR-PREV-005</t>
  </si>
  <si>
    <t xml:space="preserve">System Acceptance Testing</t>
  </si>
  <si>
    <t xml:space="preserve">AI-CTRL-033, AI-CTRL-034</t>
  </si>
  <si>
    <t xml:space="preserve">AI-R05, AI-R07, AI-R08, AI-R14, AI-R16, AI-R17, AI-R20, AI-R55</t>
  </si>
  <si>
    <t xml:space="preserve">AIR-PREV-006</t>
  </si>
  <si>
    <t xml:space="preserve">Data Quality &amp; Classification/Sensitivity</t>
  </si>
  <si>
    <t xml:space="preserve">AI-CTRL-017, AI-CTRL-019</t>
  </si>
  <si>
    <t xml:space="preserve">AI-R01, AI-R03, AI-R05, AI-R06, AI-R08, AI-R17</t>
  </si>
  <si>
    <t xml:space="preserve">AIR-PREV-007</t>
  </si>
  <si>
    <t xml:space="preserve">Legal and Contractual Frameworks for AI Systems</t>
  </si>
  <si>
    <t xml:space="preserve">AI-CTRL-013, AI-CTRL-014, AI-CTRL-046</t>
  </si>
  <si>
    <t xml:space="preserve">AI-R03, AI-R08, AI-R10, AI-R16, AI-R27, AI-R28</t>
  </si>
  <si>
    <t xml:space="preserve">AIR-PREV-008</t>
  </si>
  <si>
    <t xml:space="preserve">Quality of Service (QoS) and DDoS Prevention for AI Systems</t>
  </si>
  <si>
    <t xml:space="preserve">AI-CTRL-036, AI-CTRL-040</t>
  </si>
  <si>
    <t xml:space="preserve">AI-R11, AI-R13, AI-R16</t>
  </si>
  <si>
    <t xml:space="preserve">AIR-PREV-010</t>
  </si>
  <si>
    <t xml:space="preserve">AI Model Version Pinning</t>
  </si>
  <si>
    <t xml:space="preserve">AI-CTRL-031, AI-CTRL-034</t>
  </si>
  <si>
    <t xml:space="preserve">AI-R05, AI-R07, AI-R08, AI-R16, AI-R17, AI-R20, AI-R23</t>
  </si>
  <si>
    <t xml:space="preserve">AIR-PREV-012</t>
  </si>
  <si>
    <t xml:space="preserve">Role-Based Access Control for AI Data</t>
  </si>
  <si>
    <t xml:space="preserve">AI-CTRL-016, AI-CTRL-018</t>
  </si>
  <si>
    <t xml:space="preserve">AIR-PREV-014</t>
  </si>
  <si>
    <t xml:space="preserve">Encryption of AI Data at Rest</t>
  </si>
  <si>
    <t xml:space="preserve">AI-CTRL-017, AI-CTRL-032</t>
  </si>
  <si>
    <t xml:space="preserve">AI-R01, AI-R03, AI-R06, AI-R08, AI-R10, AI-R17</t>
  </si>
  <si>
    <t xml:space="preserve">AIR-PREV-017</t>
  </si>
  <si>
    <t xml:space="preserve">AI Firewall Implementation and Management</t>
  </si>
  <si>
    <t xml:space="preserve">AIR-PREV-018</t>
  </si>
  <si>
    <t xml:space="preserve">Agent Authority Least Privilege Framework</t>
  </si>
  <si>
    <t xml:space="preserve">AI-CTRL-016, AI-CTRL-022</t>
  </si>
  <si>
    <t xml:space="preserve">AI-R06, AI-R07, AI-R08, AI-R22, AI-R24</t>
  </si>
  <si>
    <t xml:space="preserve">AIR-PREV-019</t>
  </si>
  <si>
    <t xml:space="preserve">Tool Chain Validation and Sanitization</t>
  </si>
  <si>
    <t xml:space="preserve">AI-CTRL-020, AI-CTRL-022, AI-CTRL-024</t>
  </si>
  <si>
    <t xml:space="preserve">AI-R05, AI-R06, AI-R07, AI-R08, AI-R23, AI-R24, AI-R26</t>
  </si>
  <si>
    <t xml:space="preserve">AIR-PREV-020</t>
  </si>
  <si>
    <t xml:space="preserve">MCP Server Security Governance</t>
  </si>
  <si>
    <t xml:space="preserve">AIR-PREV-022</t>
  </si>
  <si>
    <t xml:space="preserve">Multi-Agent Isolation and Segmentation</t>
  </si>
  <si>
    <t xml:space="preserve">AI-CTRL-006, AI-CTRL-027</t>
  </si>
  <si>
    <t xml:space="preserve">AIR-PREV-023</t>
  </si>
  <si>
    <t xml:space="preserve">Agentic System Credential Protection Framework</t>
  </si>
  <si>
    <t xml:space="preserve">AI-CTRL-015, AI-CTRL-016</t>
  </si>
  <si>
    <t xml:space="preserve">AI-R06, AI-R07, AI-R08, AI-R22, AI-R25</t>
  </si>
  <si>
    <t xml:space="preserve">AIR-PREV-024</t>
  </si>
  <si>
    <t xml:space="preserve">Human-in-the-Loop Action Approval Gate</t>
  </si>
  <si>
    <t xml:space="preserve">AI-CTRL-023, AI-CTRL-045</t>
  </si>
  <si>
    <t xml:space="preserve">AIR-PREV-025</t>
  </si>
  <si>
    <t xml:space="preserve">Skill/Plugin Integrity and Governance</t>
  </si>
  <si>
    <t xml:space="preserve">AI-R07, AI-R08, AI-R16, AI-R23, AI-R24</t>
  </si>
  <si>
    <t xml:space="preserve">01 Audit and assurance</t>
  </si>
  <si>
    <t xml:space="preserve">Audit and assurance</t>
  </si>
  <si>
    <t xml:space="preserve">AI-R09, AI-R40</t>
  </si>
  <si>
    <t xml:space="preserve">AI Risk Map Crosswalk</t>
  </si>
  <si>
    <t xml:space="preserve">01 Governance and oversight</t>
  </si>
  <si>
    <t xml:space="preserve">Governance and oversight</t>
  </si>
  <si>
    <t xml:space="preserve">AI-CTRL-001, AI-CTRL-010, AI-CTRL-011, AI-CTRL-012, AI-CTRL-037, AI-CTRL-044, AI-CTRL-045</t>
  </si>
  <si>
    <t xml:space="preserve">01 Policy and standards</t>
  </si>
  <si>
    <t xml:space="preserve">Policy and standards</t>
  </si>
  <si>
    <t xml:space="preserve">01 Risk-management integration</t>
  </si>
  <si>
    <t xml:space="preserve">Risk-management integration</t>
  </si>
  <si>
    <t xml:space="preserve">01 Roles and accountability</t>
  </si>
  <si>
    <t xml:space="preserve">Roles and accountability</t>
  </si>
  <si>
    <t xml:space="preserve">AI-CTRL-012, AI-CTRL-013, AI-CTRL-037, AI-CTRL-038, AI-CTRL-042, AI-CTRL-045</t>
  </si>
  <si>
    <t xml:space="preserve">AI-R28</t>
  </si>
  <si>
    <t xml:space="preserve">02 AI strategy and roadmap</t>
  </si>
  <si>
    <t xml:space="preserve">AI strategy and roadmap</t>
  </si>
  <si>
    <t xml:space="preserve">AI-CTRL-011, AI-CTRL-037</t>
  </si>
  <si>
    <t xml:space="preserve">AI-R29</t>
  </si>
  <si>
    <t xml:space="preserve">02 Competitive position</t>
  </si>
  <si>
    <t xml:space="preserve">Competitive position</t>
  </si>
  <si>
    <t xml:space="preserve">02 Use-case selection and sourcing</t>
  </si>
  <si>
    <t xml:space="preserve">Use-case selection and sourcing</t>
  </si>
  <si>
    <t xml:space="preserve">AI-R18, AI-R29</t>
  </si>
  <si>
    <t xml:space="preserve">02 Value measurement / ROI</t>
  </si>
  <si>
    <t xml:space="preserve">Value measurement / ROI</t>
  </si>
  <si>
    <t xml:space="preserve">AI-CTRL-011, AI-CTRL-014, AI-CTRL-036, AI-CTRL-037</t>
  </si>
  <si>
    <t xml:space="preserve">AI-R29, AI-R30</t>
  </si>
  <si>
    <t xml:space="preserve">03 Privacy and consent</t>
  </si>
  <si>
    <t xml:space="preserve">Privacy and consent</t>
  </si>
  <si>
    <t xml:space="preserve">AI-CTRL-002, AI-CTRL-003, AI-CTRL-005, AI-CTRL-007, AI-CTRL-010, AI-CTRL-012, AI-CTRL-013, AI-CTRL-014, AI-CTRL-016, AI-CTRL-017, AI-CTRL-018, AI-CTRL-020, AI-CTRL-021, AI-CTRL-029, AI-CTRL-032, AI-CTRL-037, AI-CTRL-038, AI-CTRL-042, AI-CTRL-043, AI-CTRL-045</t>
  </si>
  <si>
    <t xml:space="preserve">AI-R03, AI-R06, AI-R10, AI-R28, AI-R49</t>
  </si>
  <si>
    <t xml:space="preserve">03 Quality and labeling</t>
  </si>
  <si>
    <t xml:space="preserve">Quality and labeling</t>
  </si>
  <si>
    <t xml:space="preserve">03 Retention and disposal</t>
  </si>
  <si>
    <t xml:space="preserve">Retention and disposal</t>
  </si>
  <si>
    <t xml:space="preserve">AI-CTRL-008, AI-CTRL-013, AI-CTRL-017, AI-CTRL-025, AI-CTRL-026, AI-CTRL-027, AI-CTRL-029, AI-CTRL-035, AI-CTRL-038, AI-CTRL-042</t>
  </si>
  <si>
    <t xml:space="preserve">AI-R21, AI-R38, AI-R49</t>
  </si>
  <si>
    <t xml:space="preserve">03 Sourcing and provenance</t>
  </si>
  <si>
    <t xml:space="preserve">Sourcing and provenance</t>
  </si>
  <si>
    <t xml:space="preserve">AI-R08, AI-R27</t>
  </si>
  <si>
    <t xml:space="preserve">03 Training-data rights and IP</t>
  </si>
  <si>
    <t xml:space="preserve">Training-data rights and IP</t>
  </si>
  <si>
    <t xml:space="preserve">AI-CTRL-002, AI-CTRL-003, AI-CTRL-012, AI-CTRL-013, AI-CTRL-014, AI-CTRL-031, AI-CTRL-046</t>
  </si>
  <si>
    <t xml:space="preserve">AI-R27, AI-R36</t>
  </si>
  <si>
    <t xml:space="preserve">04 Accuracy and validation</t>
  </si>
  <si>
    <t xml:space="preserve">Accuracy and validation</t>
  </si>
  <si>
    <t xml:space="preserve">AI-CTRL-033, AI-CTRL-034, AI-CTRL-038, AI-CTRL-039, AI-CTRL-041, AI-CTRL-042, AI-CTRL-045</t>
  </si>
  <si>
    <t xml:space="preserve">AI-R12, AI-R39</t>
  </si>
  <si>
    <t xml:space="preserve">04 Design and training</t>
  </si>
  <si>
    <t xml:space="preserve">Design and training</t>
  </si>
  <si>
    <t xml:space="preserve">04 Explainability</t>
  </si>
  <si>
    <t xml:space="preserve">Explainability</t>
  </si>
  <si>
    <t xml:space="preserve">04 Reproducibility and documentation</t>
  </si>
  <si>
    <t xml:space="preserve">Reproducibility and documentation</t>
  </si>
  <si>
    <t xml:space="preserve">AI-CTRL-008, AI-CTRL-009, AI-CTRL-030, AI-CTRL-033, AI-CTRL-034, AI-CTRL-035, AI-CTRL-038, AI-CTRL-041, AI-CTRL-043</t>
  </si>
  <si>
    <t xml:space="preserve">AI-R09, AI-R15, AI-R50</t>
  </si>
  <si>
    <t xml:space="preserve">04 Robustness and drift</t>
  </si>
  <si>
    <t xml:space="preserve">Robustness and drift</t>
  </si>
  <si>
    <t xml:space="preserve">AI-CTRL-014, AI-CTRL-017, AI-CTRL-019, AI-CTRL-031, AI-CTRL-033, AI-CTRL-034, AI-CTRL-040</t>
  </si>
  <si>
    <t xml:space="preserve">AI-R16, AI-R17</t>
  </si>
  <si>
    <t xml:space="preserve">05 AI access and identity</t>
  </si>
  <si>
    <t xml:space="preserve">AI access and identity</t>
  </si>
  <si>
    <t xml:space="preserve">AI-CTRL-004, AI-CTRL-005, AI-CTRL-006, AI-CTRL-015, AI-CTRL-016, AI-CTRL-017, AI-CTRL-018, AI-CTRL-020, AI-CTRL-027</t>
  </si>
  <si>
    <t xml:space="preserve">AI-R06, AI-R22, AI-R46</t>
  </si>
  <si>
    <t xml:space="preserve">05 Data and pipeline attacks</t>
  </si>
  <si>
    <t xml:space="preserve">Data and pipeline attacks</t>
  </si>
  <si>
    <t xml:space="preserve">AI-CTRL-019, AI-CTRL-029</t>
  </si>
  <si>
    <t xml:space="preserve">AI-R05, AI-R08</t>
  </si>
  <si>
    <t xml:space="preserve">05 Inference-time (input) attacks</t>
  </si>
  <si>
    <t xml:space="preserve">Inference-time (input) attacks</t>
  </si>
  <si>
    <t xml:space="preserve">AI-CTRL-005, AI-CTRL-008, AI-CTRL-019, AI-CTRL-020, AI-CTRL-021, AI-CTRL-026, AI-CTRL-033, AI-CTRL-034</t>
  </si>
  <si>
    <t xml:space="preserve">AI-R05, AI-R26</t>
  </si>
  <si>
    <t xml:space="preserve">05 Model attacks</t>
  </si>
  <si>
    <t xml:space="preserve">Model attacks</t>
  </si>
  <si>
    <t xml:space="preserve">AI-CTRL-009, AI-CTRL-014, AI-CTRL-016, AI-CTRL-019, AI-CTRL-024, AI-CTRL-028, AI-CTRL-029, AI-CTRL-030, AI-CTRL-031, AI-CTRL-032, AI-CTRL-033, AI-CTRL-034, AI-CTRL-036</t>
  </si>
  <si>
    <t xml:space="preserve">AI-R08, AI-R47</t>
  </si>
  <si>
    <t xml:space="preserve">05 Output and integration security</t>
  </si>
  <si>
    <t xml:space="preserve">Output and integration security</t>
  </si>
  <si>
    <t xml:space="preserve">AI-CTRL-005, AI-CTRL-006, AI-CTRL-015, AI-CTRL-016, AI-CTRL-017, AI-CTRL-018, AI-CTRL-020, AI-CTRL-022, AI-CTRL-023, AI-CTRL-024, AI-CTRL-025, AI-CTRL-026, AI-CTRL-027, AI-CTRL-033, AI-CTRL-034, AI-CTRL-045</t>
  </si>
  <si>
    <t xml:space="preserve">AI-R06, AI-R07, AI-R24</t>
  </si>
  <si>
    <t xml:space="preserve">05 Supply-chain and artifact integrity</t>
  </si>
  <si>
    <t xml:space="preserve">Supply-chain and artifact integrity</t>
  </si>
  <si>
    <t xml:space="preserve">AI-CTRL-004, AI-CTRL-014, AI-CTRL-016, AI-CTRL-019, AI-CTRL-024, AI-CTRL-028, AI-CTRL-029, AI-CTRL-030, AI-CTRL-031, AI-CTRL-032, AI-CTRL-033</t>
  </si>
  <si>
    <t xml:space="preserve">AI-R08, AI-R23, AI-R43</t>
  </si>
  <si>
    <t xml:space="preserve">06 Bias and fairness</t>
  </si>
  <si>
    <t xml:space="preserve">Bias and fairness</t>
  </si>
  <si>
    <t xml:space="preserve">AI-CTRL-011, AI-CTRL-031, AI-CTRL-033, AI-CTRL-034, AI-CTRL-039, AI-CTRL-041, AI-CTRL-045</t>
  </si>
  <si>
    <t xml:space="preserve">AI-R14, AI-R32</t>
  </si>
  <si>
    <t xml:space="preserve">06 Harmful / inaccurate output</t>
  </si>
  <si>
    <t xml:space="preserve">Harmful / inaccurate output</t>
  </si>
  <si>
    <t xml:space="preserve">AI-CTRL-034, AI-CTRL-035, AI-CTRL-039, AI-CTRL-041, AI-CTRL-042, AI-CTRL-045</t>
  </si>
  <si>
    <t xml:space="preserve">AI-R12, AI-R20</t>
  </si>
  <si>
    <t xml:space="preserve">06 Human agency and over-reliance</t>
  </si>
  <si>
    <t xml:space="preserve">Human agency and over-reliance</t>
  </si>
  <si>
    <t xml:space="preserve">AI-CTRL-012, AI-CTRL-023, AI-CTRL-039, AI-CTRL-044, AI-CTRL-045</t>
  </si>
  <si>
    <t xml:space="preserve">AI-R19, AI-R42</t>
  </si>
  <si>
    <t xml:space="preserve">06 Misuse and dual-use</t>
  </si>
  <si>
    <t xml:space="preserve">Misuse and dual-use</t>
  </si>
  <si>
    <t xml:space="preserve">06 Transparency, disclosure and provenance</t>
  </si>
  <si>
    <t xml:space="preserve">Transparency, disclosure and provenance</t>
  </si>
  <si>
    <t xml:space="preserve">AI-CTRL-012, AI-CTRL-013, AI-CTRL-014, AI-CTRL-020, AI-CTRL-031, AI-CTRL-033, AI-CTRL-034, AI-CTRL-039, AI-CTRL-040, AI-CTRL-045</t>
  </si>
  <si>
    <t xml:space="preserve">AI-R16, AI-R42, AI-R53</t>
  </si>
  <si>
    <t xml:space="preserve">07 Availability and scalability</t>
  </si>
  <si>
    <t xml:space="preserve">Availability and scalability</t>
  </si>
  <si>
    <t xml:space="preserve">AI-CTRL-025, AI-CTRL-036, AI-CTRL-040</t>
  </si>
  <si>
    <t xml:space="preserve">AI-R11, AI-R13</t>
  </si>
  <si>
    <t xml:space="preserve">07 Change and lifecycle management</t>
  </si>
  <si>
    <t xml:space="preserve">Change and lifecycle management</t>
  </si>
  <si>
    <t xml:space="preserve">AI-R16, AI-R31</t>
  </si>
  <si>
    <t xml:space="preserve">07 Incident management</t>
  </si>
  <si>
    <t xml:space="preserve">Incident management</t>
  </si>
  <si>
    <t xml:space="preserve">AI-CTRL-008, AI-CTRL-009, AI-CTRL-035, AI-CTRL-038, AI-CTRL-043</t>
  </si>
  <si>
    <t xml:space="preserve">AI-R09, AI-R48</t>
  </si>
  <si>
    <t xml:space="preserve">07 MLOps and deployment</t>
  </si>
  <si>
    <t xml:space="preserve">MLOps and deployment</t>
  </si>
  <si>
    <t xml:space="preserve">AI-CTRL-001, AI-CTRL-008, AI-CTRL-010, AI-CTRL-011, AI-CTRL-012, AI-CTRL-014, AI-CTRL-030, AI-CTRL-031, AI-CTRL-033, AI-CTRL-034, AI-CTRL-037, AI-CTRL-040, AI-CTRL-044</t>
  </si>
  <si>
    <t xml:space="preserve">AI-R02, AI-R16, AI-R50</t>
  </si>
  <si>
    <t xml:space="preserve">07 Monitoring and observability</t>
  </si>
  <si>
    <t xml:space="preserve">Monitoring and observability</t>
  </si>
  <si>
    <t xml:space="preserve">AI-CTRL-008, AI-CTRL-009, AI-CTRL-015, AI-CTRL-035, AI-CTRL-038, AI-CTRL-043</t>
  </si>
  <si>
    <t xml:space="preserve">AI-R09, AI-R45</t>
  </si>
  <si>
    <t xml:space="preserve">08 Contractual and licensing</t>
  </si>
  <si>
    <t xml:space="preserve">Contractual and licensing</t>
  </si>
  <si>
    <t xml:space="preserve">AI-R10, AI-R36</t>
  </si>
  <si>
    <t xml:space="preserve">08 Cross-border</t>
  </si>
  <si>
    <t xml:space="preserve">Cross-border</t>
  </si>
  <si>
    <t xml:space="preserve">AI-CTRL-007, AI-CTRL-013, AI-CTRL-014, AI-CTRL-032, AI-CTRL-042, AI-CTRL-043</t>
  </si>
  <si>
    <t xml:space="preserve">08 IP and liability</t>
  </si>
  <si>
    <t xml:space="preserve">IP and liability</t>
  </si>
  <si>
    <t xml:space="preserve">AI-CTRL-002, AI-CTRL-003, AI-CTRL-012, AI-CTRL-013, AI-CTRL-014, AI-CTRL-031, AI-CTRL-037, AI-CTRL-042, AI-CTRL-045, AI-CTRL-046</t>
  </si>
  <si>
    <t xml:space="preserve">AI-R27, AI-R36, AI-R51</t>
  </si>
  <si>
    <t xml:space="preserve">08 Regulatory compliance</t>
  </si>
  <si>
    <t xml:space="preserve">Regulatory compliance</t>
  </si>
  <si>
    <t xml:space="preserve">AI-CTRL-011, AI-CTRL-012, AI-CTRL-013, AI-CTRL-037, AI-CTRL-038, AI-CTRL-042, AI-CTRL-045</t>
  </si>
  <si>
    <t xml:space="preserve">AI-R28, AI-R37</t>
  </si>
  <si>
    <t xml:space="preserve">09 Foundation-model dependence</t>
  </si>
  <si>
    <t xml:space="preserve">Foundation-model dependence</t>
  </si>
  <si>
    <t xml:space="preserve">AI-CTRL-011, AI-CTRL-014, AI-CTRL-031, AI-CTRL-034, AI-CTRL-040</t>
  </si>
  <si>
    <t xml:space="preserve">AI-R31, AI-R32</t>
  </si>
  <si>
    <t xml:space="preserve">09 Lock-in and portability</t>
  </si>
  <si>
    <t xml:space="preserve">Lock-in and portability</t>
  </si>
  <si>
    <t xml:space="preserve">AI-CTRL-014, AI-CTRL-031, AI-CTRL-040</t>
  </si>
  <si>
    <t xml:space="preserve">AI-R31</t>
  </si>
  <si>
    <t xml:space="preserve">09 Open-source component risk</t>
  </si>
  <si>
    <t xml:space="preserve">Open-source component risk</t>
  </si>
  <si>
    <t xml:space="preserve">AI-CTRL-014, AI-CTRL-016, AI-CTRL-019, AI-CTRL-024, AI-CTRL-028, AI-CTRL-029, AI-CTRL-030, AI-CTRL-031, AI-CTRL-032, AI-CTRL-033, AI-CTRL-034</t>
  </si>
  <si>
    <t xml:space="preserve">AI-R08, AI-R44, AI-R52</t>
  </si>
  <si>
    <t xml:space="preserve">09 Vendor due diligence</t>
  </si>
  <si>
    <t xml:space="preserve">Vendor due diligence</t>
  </si>
  <si>
    <t xml:space="preserve">AI-R10, AI-R41</t>
  </si>
  <si>
    <t xml:space="preserve">10 Deskilling and loss of institutional knowledge</t>
  </si>
  <si>
    <t xml:space="preserve">Deskilling and loss of institutional knowledge</t>
  </si>
  <si>
    <t xml:space="preserve">AI-CTRL-040, AI-CTRL-044, AI-CTRL-045</t>
  </si>
  <si>
    <t xml:space="preserve">AI-R33</t>
  </si>
  <si>
    <t xml:space="preserve">10 Skills and talent</t>
  </si>
  <si>
    <t xml:space="preserve">Skills and talent</t>
  </si>
  <si>
    <t xml:space="preserve">AI-CTRL-012, AI-CTRL-040, AI-CTRL-044, AI-CTRL-045</t>
  </si>
  <si>
    <t xml:space="preserve">AI-R33, AI-R34</t>
  </si>
  <si>
    <t xml:space="preserve">10 Societal and reputational</t>
  </si>
  <si>
    <t xml:space="preserve">Societal and reputational</t>
  </si>
  <si>
    <t xml:space="preserve">AI-R20, AI-R41</t>
  </si>
  <si>
    <t xml:space="preserve">10 Workforce disruption / change</t>
  </si>
  <si>
    <t xml:space="preserve">Workforce disruption / change</t>
  </si>
  <si>
    <t xml:space="preserve">AI-CTRL-012, AI-CTRL-044</t>
  </si>
  <si>
    <t xml:space="preserve">AI-R34</t>
  </si>
  <si>
    <t xml:space="preserve">11 Cost and compute economics</t>
  </si>
  <si>
    <t xml:space="preserve">Cost and compute economics</t>
  </si>
  <si>
    <t xml:space="preserve">AI-CTRL-014, AI-CTRL-025, AI-CTRL-036, AI-CTRL-037</t>
  </si>
  <si>
    <t xml:space="preserve">AI-R11, AI-R30, AI-R35</t>
  </si>
  <si>
    <t xml:space="preserve">11 Investment / procurement</t>
  </si>
  <si>
    <t xml:space="preserve">Investment / procurement</t>
  </si>
  <si>
    <t xml:space="preserve">AI-CTRL-014, AI-CTRL-036, AI-CTRL-037</t>
  </si>
  <si>
    <t xml:space="preserve">AI-R30</t>
  </si>
  <si>
    <t xml:space="preserve">11 Scaling and resource constraints</t>
  </si>
  <si>
    <t xml:space="preserve">Scaling and resource constraints</t>
  </si>
  <si>
    <t xml:space="preserve">AI-R13, AI-R31</t>
  </si>
  <si>
    <t xml:space="preserve">12 Action integrity and traceability</t>
  </si>
  <si>
    <t xml:space="preserve">Action integrity and traceability</t>
  </si>
  <si>
    <t xml:space="preserve">AI-CTRL-006, AI-CTRL-008, AI-CTRL-009, AI-CTRL-015, AI-CTRL-016, AI-CTRL-022, AI-CTRL-023, AI-CTRL-024, AI-CTRL-025, AI-CTRL-026, AI-CTRL-027, AI-CTRL-033, AI-CTRL-034, AI-CTRL-035, AI-CTRL-038, AI-CTRL-043, AI-CTRL-045</t>
  </si>
  <si>
    <t xml:space="preserve">AI-R07, AI-R09, AI-R54</t>
  </si>
  <si>
    <t xml:space="preserve">12 Autonomy, alignment and oversight</t>
  </si>
  <si>
    <t xml:space="preserve">Autonomy, alignment and oversight</t>
  </si>
  <si>
    <t xml:space="preserve">AI-CTRL-006, AI-CTRL-012, AI-CTRL-015, AI-CTRL-016, AI-CTRL-022, AI-CTRL-023, AI-CTRL-024, AI-CTRL-025, AI-CTRL-026, AI-CTRL-027, AI-CTRL-033, AI-CTRL-034, AI-CTRL-044, AI-CTRL-045</t>
  </si>
  <si>
    <t xml:space="preserve">12 Memory and context integrity</t>
  </si>
  <si>
    <t xml:space="preserve">Memory and context integrity</t>
  </si>
  <si>
    <t xml:space="preserve">12 Multi-agent orchestration</t>
  </si>
  <si>
    <t xml:space="preserve">Multi-agent orchestration</t>
  </si>
  <si>
    <t xml:space="preserve">12 Tool access and authorization</t>
  </si>
  <si>
    <t xml:space="preserve">Tool access and authorization</t>
  </si>
  <si>
    <t xml:space="preserve">AI-CTRL-004, AI-CTRL-006, AI-CTRL-015, AI-CTRL-016, AI-CTRL-022, AI-CTRL-023, AI-CTRL-024, AI-CTRL-025, AI-CTRL-026, AI-CTRL-027, AI-CTRL-031, AI-CTRL-033, AI-CTRL-034, AI-CTRL-045</t>
  </si>
  <si>
    <t xml:space="preserve">AI-R07, AI-R22, AI-R23</t>
  </si>
  <si>
    <t xml:space="preserve">GOVERN 1.1</t>
  </si>
  <si>
    <t xml:space="preserve">AI-CTRL-007; AI-CTRL-013; AI-CTRL-042; AI-CTRL-043</t>
  </si>
  <si>
    <t xml:space="preserve">AI-CTRL-007, AI-CTRL-013, AI-CTRL-042, AI-CTRL-043</t>
  </si>
  <si>
    <t xml:space="preserve">AI-R03, AI-R09, AI-R10, AI-R12, AI-R27, AI-R28</t>
  </si>
  <si>
    <t xml:space="preserve">NIST AI RMF Crosswalk</t>
  </si>
  <si>
    <t xml:space="preserve">GOVERN 1.2</t>
  </si>
  <si>
    <t xml:space="preserve">GOVERN 1.3</t>
  </si>
  <si>
    <t xml:space="preserve">AI-CTRL-011; AI-CTRL-037</t>
  </si>
  <si>
    <t xml:space="preserve">GOVERN 1.4</t>
  </si>
  <si>
    <t xml:space="preserve">AI-CTRL-010; AI-CTRL-012</t>
  </si>
  <si>
    <t xml:space="preserve">AI-CTRL-010, AI-CTRL-012</t>
  </si>
  <si>
    <t xml:space="preserve">AI-R01, AI-R02, AI-R03, AI-R18, AI-R19, AI-R27, AI-R28</t>
  </si>
  <si>
    <t xml:space="preserve">GOVERN 1.5</t>
  </si>
  <si>
    <t xml:space="preserve">GOVERN 1.6</t>
  </si>
  <si>
    <t xml:space="preserve">AI-CTRL-001; AI-CTRL-006; AI-CTRL-011</t>
  </si>
  <si>
    <t xml:space="preserve">AI-CTRL-001, AI-CTRL-006, AI-CTRL-011</t>
  </si>
  <si>
    <t xml:space="preserve">AI-R02, AI-R07, AI-R18, AI-R25</t>
  </si>
  <si>
    <t xml:space="preserve">GOVERN 1.7</t>
  </si>
  <si>
    <t xml:space="preserve">GOVERN 2.1</t>
  </si>
  <si>
    <t xml:space="preserve">GOVERN 2.2</t>
  </si>
  <si>
    <t xml:space="preserve">AI-CTRL-012; AI-CTRL-044</t>
  </si>
  <si>
    <t xml:space="preserve">GOVERN 2.3</t>
  </si>
  <si>
    <t xml:space="preserve">None</t>
  </si>
  <si>
    <t xml:space="preserve">GOVERN 3.1</t>
  </si>
  <si>
    <t xml:space="preserve">GOVERN 3.2</t>
  </si>
  <si>
    <t xml:space="preserve">AI-CTRL-023; AI-CTRL-045</t>
  </si>
  <si>
    <t xml:space="preserve">GOVERN 4.1</t>
  </si>
  <si>
    <t xml:space="preserve">GOVERN 4.2</t>
  </si>
  <si>
    <t xml:space="preserve">GOVERN 4.3</t>
  </si>
  <si>
    <t xml:space="preserve">AI-CTRL-034; AI-CTRL-035</t>
  </si>
  <si>
    <t xml:space="preserve">AI-CTRL-034, AI-CTRL-035</t>
  </si>
  <si>
    <t xml:space="preserve">AI-R05, AI-R07, AI-R09, AI-R16, AI-R17, AI-R20</t>
  </si>
  <si>
    <t xml:space="preserve">GOVERN 5.1</t>
  </si>
  <si>
    <t xml:space="preserve">GOVERN 5.2</t>
  </si>
  <si>
    <t xml:space="preserve">GOVERN 6.1</t>
  </si>
  <si>
    <t xml:space="preserve">AI-CTRL-001; AI-CTRL-004; AI-CTRL-007; AI-CTRL-014; AI-CTRL-024; AI-CTRL-031</t>
  </si>
  <si>
    <t xml:space="preserve">AI-CTRL-001, AI-CTRL-004, AI-CTRL-007, AI-CTRL-014, AI-CTRL-024, AI-CTRL-031</t>
  </si>
  <si>
    <t xml:space="preserve">AI-R02, AI-R04, AI-R07, AI-R08, AI-R10, AI-R16, AI-R22, AI-R23, AI-R24</t>
  </si>
  <si>
    <t xml:space="preserve">GOVERN 6.2</t>
  </si>
  <si>
    <t xml:space="preserve">AI-CTRL-014; AI-CTRL-035; AI-CTRL-040</t>
  </si>
  <si>
    <t xml:space="preserve">AI-CTRL-014, AI-CTRL-035, AI-CTRL-040</t>
  </si>
  <si>
    <t xml:space="preserve">AI-R08, AI-R09, AI-R10, AI-R13, AI-R16, AI-R20</t>
  </si>
  <si>
    <t xml:space="preserve">MANAGE 1.1</t>
  </si>
  <si>
    <t xml:space="preserve">MANAGE 1.2</t>
  </si>
  <si>
    <t xml:space="preserve">MANAGE 1.3</t>
  </si>
  <si>
    <t xml:space="preserve">AI-CTRL-005; AI-CTRL-010; AI-CTRL-016; AI-CTRL-022; AI-CTRL-027</t>
  </si>
  <si>
    <t xml:space="preserve">AI-CTRL-005, AI-CTRL-010, AI-CTRL-016, AI-CTRL-022, AI-CTRL-027</t>
  </si>
  <si>
    <t xml:space="preserve">AI-R01, AI-R02, AI-R03, AI-R05, AI-R06, AI-R07, AI-R08, AI-R21, AI-R22, AI-R24, AI-R25, AI-R55</t>
  </si>
  <si>
    <t xml:space="preserve">MANAGE 1.4</t>
  </si>
  <si>
    <t xml:space="preserve">MANAGE 2.1</t>
  </si>
  <si>
    <t xml:space="preserve">MANAGE 2.2</t>
  </si>
  <si>
    <t xml:space="preserve">MANAGE 2.3</t>
  </si>
  <si>
    <t xml:space="preserve">AI-CTRL-025; AI-CTRL-035; AI-CTRL-040</t>
  </si>
  <si>
    <t xml:space="preserve">AI-CTRL-025, AI-CTRL-035, AI-CTRL-040</t>
  </si>
  <si>
    <t xml:space="preserve">AI-R07, AI-R09, AI-R11, AI-R13, AI-R16, AI-R20, AI-R21, AI-R25, AI-R55</t>
  </si>
  <si>
    <t xml:space="preserve">MANAGE 2.4</t>
  </si>
  <si>
    <t xml:space="preserve">MANAGE 3.1</t>
  </si>
  <si>
    <t xml:space="preserve">AI-CTRL-014; AI-CTRL-024; AI-CTRL-031</t>
  </si>
  <si>
    <t xml:space="preserve">AI-CTRL-014, AI-CTRL-024, AI-CTRL-031</t>
  </si>
  <si>
    <t xml:space="preserve">AI-R07, AI-R08, AI-R10, AI-R16, AI-R23, AI-R24</t>
  </si>
  <si>
    <t xml:space="preserve">MANAGE 3.2</t>
  </si>
  <si>
    <t xml:space="preserve">MANAGE 4.1</t>
  </si>
  <si>
    <t xml:space="preserve">AI-CTRL-002; AI-CTRL-003; AI-CTRL-004; AI-CTRL-008; AI-CTRL-009; AI-CTRL-036</t>
  </si>
  <si>
    <t xml:space="preserve">AI-CTRL-002, AI-CTRL-003, AI-CTRL-004, AI-CTRL-008, AI-CTRL-009, AI-CTRL-036</t>
  </si>
  <si>
    <t xml:space="preserve">AI-R01, AI-R03, AI-R04, AI-R09, AI-R11, AI-R15, AI-R22, AI-R26, AI-R27</t>
  </si>
  <si>
    <t xml:space="preserve">MANAGE 4.2</t>
  </si>
  <si>
    <t xml:space="preserve">MANAGE 4.3</t>
  </si>
  <si>
    <t xml:space="preserve">MAP 1.1</t>
  </si>
  <si>
    <t xml:space="preserve">AI-CTRL-011; AI-CTRL-042</t>
  </si>
  <si>
    <t xml:space="preserve">AI-CTRL-011, AI-CTRL-042</t>
  </si>
  <si>
    <t xml:space="preserve">AI-R02, AI-R10, AI-R12, AI-R18, AI-R28</t>
  </si>
  <si>
    <t xml:space="preserve">MAP 1.2</t>
  </si>
  <si>
    <t xml:space="preserve">MAP 1.3</t>
  </si>
  <si>
    <t xml:space="preserve">MAP 1.4</t>
  </si>
  <si>
    <t xml:space="preserve">MAP 1.5</t>
  </si>
  <si>
    <t xml:space="preserve">MAP 1.6</t>
  </si>
  <si>
    <t xml:space="preserve">MAP 2.1</t>
  </si>
  <si>
    <t xml:space="preserve">MAP 2.2</t>
  </si>
  <si>
    <t xml:space="preserve">MAP 2.3</t>
  </si>
  <si>
    <t xml:space="preserve">AI-CTRL-019; AI-CTRL-029</t>
  </si>
  <si>
    <t xml:space="preserve">MAP 3.1</t>
  </si>
  <si>
    <t xml:space="preserve">MAP 3.2</t>
  </si>
  <si>
    <t xml:space="preserve">MAP 3.3</t>
  </si>
  <si>
    <t xml:space="preserve">MAP 3.4</t>
  </si>
  <si>
    <t xml:space="preserve">MAP 3.5</t>
  </si>
  <si>
    <t xml:space="preserve">MAP 4.1</t>
  </si>
  <si>
    <t xml:space="preserve">AI-CTRL-007; AI-CTRL-024; AI-CTRL-029; AI-CTRL-031; AI-CTRL-046</t>
  </si>
  <si>
    <t xml:space="preserve">AI-CTRL-007, AI-CTRL-024, AI-CTRL-029, AI-CTRL-031, AI-CTRL-046</t>
  </si>
  <si>
    <t xml:space="preserve">AI-R07, AI-R08, AI-R10, AI-R16, AI-R23, AI-R24, AI-R27</t>
  </si>
  <si>
    <t xml:space="preserve">MAP 4.2</t>
  </si>
  <si>
    <t xml:space="preserve">AI-CTRL-024; AI-CTRL-030; AI-CTRL-032</t>
  </si>
  <si>
    <t xml:space="preserve">AI-CTRL-024, AI-CTRL-030, AI-CTRL-032</t>
  </si>
  <si>
    <t xml:space="preserve">AI-R07, AI-R08, AI-R10, AI-R23, AI-R24</t>
  </si>
  <si>
    <t xml:space="preserve">MAP 5.1</t>
  </si>
  <si>
    <t xml:space="preserve">AI-CTRL-013; AI-CTRL-041; AI-CTRL-042</t>
  </si>
  <si>
    <t xml:space="preserve">AI-CTRL-013, AI-CTRL-041, AI-CTRL-042</t>
  </si>
  <si>
    <t xml:space="preserve">AI-R03, AI-R10, AI-R12, AI-R14, AI-R15, AI-R27, AI-R28</t>
  </si>
  <si>
    <t xml:space="preserve">MAP 5.2</t>
  </si>
  <si>
    <t xml:space="preserve">MEASURE 1.1</t>
  </si>
  <si>
    <t xml:space="preserve">MEASURE 1.2</t>
  </si>
  <si>
    <t xml:space="preserve">MEASURE 1.3</t>
  </si>
  <si>
    <t xml:space="preserve">MEASURE 2.1</t>
  </si>
  <si>
    <t xml:space="preserve">MEASURE 2.2</t>
  </si>
  <si>
    <t xml:space="preserve">MEASURE 2.3</t>
  </si>
  <si>
    <t xml:space="preserve">MEASURE 2.4</t>
  </si>
  <si>
    <t xml:space="preserve">AI-CTRL-006; AI-CTRL-008; AI-CTRL-009</t>
  </si>
  <si>
    <t xml:space="preserve">AI-CTRL-006, AI-CTRL-008, AI-CTRL-009</t>
  </si>
  <si>
    <t xml:space="preserve">AI-R07, AI-R09, AI-R15, AI-R25, AI-R26</t>
  </si>
  <si>
    <t xml:space="preserve">MEASURE 2.5</t>
  </si>
  <si>
    <t xml:space="preserve">AI-CTRL-028; AI-CTRL-039</t>
  </si>
  <si>
    <t xml:space="preserve">AI-CTRL-028, AI-CTRL-039</t>
  </si>
  <si>
    <t xml:space="preserve">AI-R08, AI-R12, AI-R14, AI-R20</t>
  </si>
  <si>
    <t xml:space="preserve">MEASURE 2.6</t>
  </si>
  <si>
    <t xml:space="preserve">AI-CTRL-034; AI-CTRL-039</t>
  </si>
  <si>
    <t xml:space="preserve">MEASURE 2.7</t>
  </si>
  <si>
    <t xml:space="preserve">AI-CTRL-005; AI-CTRL-015; AI-CTRL-016; AI-CTRL-017; AI-CTRL-018; AI-CTRL-019; AI-CTRL-020; AI-CTRL-021; AI-CTRL-022; AI-CTRL-026; AI-CTRL-027; AI-CTRL-028; AI-CTRL-029; AI-CTRL-030; AI-CTRL-032; AI-CTRL-033; AI-CTRL-034; AI-CTRL-036; AI-CTRL-040</t>
  </si>
  <si>
    <t xml:space="preserve">AI-CTRL-005, AI-CTRL-015, AI-CTRL-016, AI-CTRL-017, AI-CTRL-018, AI-CTRL-019, AI-CTRL-020, AI-CTRL-021, AI-CTRL-022, AI-CTRL-026, AI-CTRL-027, AI-CTRL-028, AI-CTRL-029, AI-CTRL-030, AI-CTRL-032, AI-CTRL-033, AI-CTRL-034, AI-CTRL-036, AI-CTRL-040</t>
  </si>
  <si>
    <t xml:space="preserve">AI-R01, AI-R03, AI-R05, AI-R06, AI-R07, AI-R08, AI-R10, AI-R11, AI-R13, AI-R14, AI-R16, AI-R17, AI-R20, AI-R21, AI-R22, AI-R24, AI-R25, AI-R26, AI-R55</t>
  </si>
  <si>
    <t xml:space="preserve">MEASURE 2.8</t>
  </si>
  <si>
    <t xml:space="preserve">AI-CTRL-008; AI-CTRL-015</t>
  </si>
  <si>
    <t xml:space="preserve">AI-CTRL-008, AI-CTRL-015</t>
  </si>
  <si>
    <t xml:space="preserve">AI-R07, AI-R09, AI-R15, AI-R22, AI-R25, AI-R26</t>
  </si>
  <si>
    <t xml:space="preserve">MEASURE 2.9</t>
  </si>
  <si>
    <t xml:space="preserve">MEASURE 2.10</t>
  </si>
  <si>
    <t xml:space="preserve">AI-CTRL-002; AI-CTRL-003; AI-CTRL-004; AI-CTRL-013; AI-CTRL-017; AI-CTRL-018; AI-CTRL-020; AI-CTRL-021; AI-CTRL-026; AI-CTRL-029</t>
  </si>
  <si>
    <t xml:space="preserve">AI-CTRL-002, AI-CTRL-003, AI-CTRL-004, AI-CTRL-013, AI-CTRL-017, AI-CTRL-018, AI-CTRL-020, AI-CTRL-021, AI-CTRL-026, AI-CTRL-029</t>
  </si>
  <si>
    <t xml:space="preserve">AI-R01, AI-R03, AI-R04, AI-R05, AI-R06, AI-R07, AI-R08, AI-R10, AI-R17, AI-R21, AI-R22, AI-R24, AI-R26, AI-R27, AI-R28</t>
  </si>
  <si>
    <t xml:space="preserve">MEASURE 2.11</t>
  </si>
  <si>
    <t xml:space="preserve">MEASURE 2.12</t>
  </si>
  <si>
    <t xml:space="preserve">MEASURE 2.13</t>
  </si>
  <si>
    <t xml:space="preserve">MEASURE 3.1</t>
  </si>
  <si>
    <t xml:space="preserve">MEASURE 3.2</t>
  </si>
  <si>
    <t xml:space="preserve">MEASURE 3.3</t>
  </si>
  <si>
    <t xml:space="preserve">MEASURE 4.1</t>
  </si>
  <si>
    <t xml:space="preserve">MEASURE 4.2</t>
  </si>
  <si>
    <t xml:space="preserve">MEASURE 4.3</t>
  </si>
  <si>
    <t xml:space="preserve">CBRN Information or Capabilities</t>
  </si>
  <si>
    <t xml:space="preserve">NIST AI 600-1 Generative AI Profile Crosswalk</t>
  </si>
  <si>
    <t xml:space="preserve">Confabulation</t>
  </si>
  <si>
    <t xml:space="preserve">AI-CTRL-039, AI-CTRL-045</t>
  </si>
  <si>
    <t xml:space="preserve">Dangerous, Violent, or Hateful Content</t>
  </si>
  <si>
    <t xml:space="preserve">Data Privacy</t>
  </si>
  <si>
    <t xml:space="preserve">AI-CTRL-002, AI-CTRL-013, AI-CTRL-017, AI-CTRL-042</t>
  </si>
  <si>
    <t xml:space="preserve">AI-R03, AI-R06, AI-R10</t>
  </si>
  <si>
    <t xml:space="preserve">Environmental Impacts</t>
  </si>
  <si>
    <t xml:space="preserve">AI-R35</t>
  </si>
  <si>
    <t xml:space="preserve">Harmful Bias or Homogenization</t>
  </si>
  <si>
    <t xml:space="preserve">AI-CTRL-034, AI-CTRL-041</t>
  </si>
  <si>
    <t xml:space="preserve">Human-AI Configuration</t>
  </si>
  <si>
    <t xml:space="preserve">AI-CTRL-023, AI-CTRL-044, AI-CTRL-045</t>
  </si>
  <si>
    <t xml:space="preserve">Information Integrity</t>
  </si>
  <si>
    <t xml:space="preserve">Information Security</t>
  </si>
  <si>
    <t xml:space="preserve">AI-CTRL-005, AI-CTRL-028, AI-CTRL-032, AI-CTRL-034</t>
  </si>
  <si>
    <t xml:space="preserve">AI-R05, AI-R07, AI-R08, AI-R24</t>
  </si>
  <si>
    <t xml:space="preserve">Intellectual Property</t>
  </si>
  <si>
    <t xml:space="preserve">AI-CTRL-012, AI-CTRL-046</t>
  </si>
  <si>
    <t xml:space="preserve">Obscene, Degrading, and/or Abusive Content</t>
  </si>
  <si>
    <t xml:space="preserve">Value Chain and Component Integration</t>
  </si>
  <si>
    <t xml:space="preserve">AC.1</t>
  </si>
  <si>
    <t xml:space="preserve">Access</t>
  </si>
  <si>
    <t xml:space="preserve">AI BCF Crosswalk</t>
  </si>
  <si>
    <t xml:space="preserve">AC.2</t>
  </si>
  <si>
    <t xml:space="preserve">AC.3</t>
  </si>
  <si>
    <t xml:space="preserve">AC.4</t>
  </si>
  <si>
    <t xml:space="preserve">CM.1</t>
  </si>
  <si>
    <t xml:space="preserve">Comply</t>
  </si>
  <si>
    <t xml:space="preserve">AI-CTRL-013, AI-CTRL-043</t>
  </si>
  <si>
    <t xml:space="preserve">AI-R03, AI-R09, AI-R10, AI-R27, AI-R28</t>
  </si>
  <si>
    <t xml:space="preserve">CM.2</t>
  </si>
  <si>
    <t xml:space="preserve">Gap</t>
  </si>
  <si>
    <t xml:space="preserve">CM.3</t>
  </si>
  <si>
    <t xml:space="preserve">AI-CTRL-008, AI-CTRL-041, AI-CTRL-045</t>
  </si>
  <si>
    <t xml:space="preserve">AI-R07, AI-R09, AI-R12, AI-R14, AI-R15, AI-R18, AI-R19, AI-R26, AI-R28</t>
  </si>
  <si>
    <t xml:space="preserve">CM.4</t>
  </si>
  <si>
    <t xml:space="preserve">GV.1</t>
  </si>
  <si>
    <t xml:space="preserve">Govern</t>
  </si>
  <si>
    <t xml:space="preserve">GV.2</t>
  </si>
  <si>
    <t xml:space="preserve">GV.3</t>
  </si>
  <si>
    <t xml:space="preserve">GV.4</t>
  </si>
  <si>
    <t xml:space="preserve">RG.1</t>
  </si>
  <si>
    <t xml:space="preserve">Register</t>
  </si>
  <si>
    <t xml:space="preserve">AI-CTRL-001, AI-CTRL-011, AI-CTRL-014, AI-CTRL-031</t>
  </si>
  <si>
    <t xml:space="preserve">AI-R02, AI-R08, AI-R10, AI-R16, AI-R18, AI-R23</t>
  </si>
  <si>
    <t xml:space="preserve">RG.2</t>
  </si>
  <si>
    <t xml:space="preserve">AI-CTRL-006, AI-CTRL-011</t>
  </si>
  <si>
    <t xml:space="preserve">RG.3</t>
  </si>
  <si>
    <t xml:space="preserve">RG.4</t>
  </si>
  <si>
    <t xml:space="preserve">RG.5</t>
  </si>
  <si>
    <t xml:space="preserve">AI-CTRL-007, AI-CTRL-013, AI-CTRL-014</t>
  </si>
  <si>
    <t xml:space="preserve">TR.1</t>
  </si>
  <si>
    <t xml:space="preserve">Track</t>
  </si>
  <si>
    <t xml:space="preserve">AI-CTRL-034, AI-CTRL-038</t>
  </si>
  <si>
    <t xml:space="preserve">AI-R05, AI-R07, AI-R09, AI-R15, AI-R16, AI-R17, AI-R20, AI-R28</t>
  </si>
  <si>
    <t xml:space="preserve">TR.2</t>
  </si>
  <si>
    <t xml:space="preserve">TR.3</t>
  </si>
  <si>
    <t xml:space="preserve">AI-CTRL-008, AI-CTRL-035, AI-CTRL-039</t>
  </si>
  <si>
    <t xml:space="preserve">AI-R09, AI-R12, AI-R14, AI-R15, AI-R20, AI-R26</t>
  </si>
  <si>
    <t xml:space="preserve">LLM01:2025</t>
  </si>
  <si>
    <t xml:space="preserve">AI-CTRL-005, AI-CTRL-021, AI-CTRL-026, AI-CTRL-034</t>
  </si>
  <si>
    <t xml:space="preserve">AI-R03, AI-R05, AI-R06, AI-R07, AI-R16, AI-R17, AI-R20, AI-R21, AI-R24</t>
  </si>
  <si>
    <t xml:space="preserve">OWASP Top 10 Crosswalk</t>
  </si>
  <si>
    <t xml:space="preserve">LLM02:2025</t>
  </si>
  <si>
    <t xml:space="preserve">Sensitive Information Disclosure</t>
  </si>
  <si>
    <t xml:space="preserve">AI-CTRL-002, AI-CTRL-003, AI-CTRL-004, AI-CTRL-010, AI-CTRL-013, AI-CTRL-017, AI-CTRL-018, AI-CTRL-020, AI-CTRL-021, AI-CTRL-028, AI-CTRL-034</t>
  </si>
  <si>
    <t xml:space="preserve">AI-R01, AI-R02, AI-R03, AI-R04, AI-R05, AI-R06, AI-R07, AI-R08, AI-R10, AI-R16, AI-R17, AI-R20, AI-R22, AI-R24, AI-R26, AI-R27, AI-R28</t>
  </si>
  <si>
    <t xml:space="preserve">LLM03:2025</t>
  </si>
  <si>
    <t xml:space="preserve">Supply Chain</t>
  </si>
  <si>
    <t xml:space="preserve">AI-CTRL-001, AI-CTRL-004, AI-CTRL-014, AI-CTRL-024, AI-CTRL-030, AI-CTRL-031, AI-CTRL-032, AI-CTRL-034</t>
  </si>
  <si>
    <t xml:space="preserve">AI-R02, AI-R04, AI-R05, AI-R07, AI-R08, AI-R10, AI-R16, AI-R17, AI-R20, AI-R22, AI-R23, AI-R24</t>
  </si>
  <si>
    <t xml:space="preserve">LLM04:2025</t>
  </si>
  <si>
    <t xml:space="preserve">Data and Model Poisoning</t>
  </si>
  <si>
    <t xml:space="preserve">AI-CTRL-019, AI-CTRL-026, AI-CTRL-029, AI-CTRL-030, AI-CTRL-034</t>
  </si>
  <si>
    <t xml:space="preserve">AI-R05, AI-R07, AI-R08, AI-R16, AI-R17, AI-R20, AI-R21</t>
  </si>
  <si>
    <t xml:space="preserve">LLM05:2025</t>
  </si>
  <si>
    <t xml:space="preserve">Improper Output Handling</t>
  </si>
  <si>
    <t xml:space="preserve">AI-CTRL-020, AI-CTRL-034</t>
  </si>
  <si>
    <t xml:space="preserve">AI-R05, AI-R06, AI-R07, AI-R16, AI-R17, AI-R20, AI-R24, AI-R26</t>
  </si>
  <si>
    <t xml:space="preserve">LLM06:2025</t>
  </si>
  <si>
    <t xml:space="preserve">Excessive Agency</t>
  </si>
  <si>
    <t xml:space="preserve">AI-CTRL-006, AI-CTRL-015, AI-CTRL-016, AI-CTRL-022, AI-CTRL-023, AI-CTRL-025, AI-CTRL-027, AI-CTRL-034, AI-CTRL-045</t>
  </si>
  <si>
    <t xml:space="preserve">AI-R05, AI-R06, AI-R07, AI-R08, AI-R11, AI-R12, AI-R14, AI-R16, AI-R17, AI-R18, AI-R19, AI-R20, AI-R21, AI-R22, AI-R24, AI-R25, AI-R28, AI-R55</t>
  </si>
  <si>
    <t xml:space="preserve">LLM07:2025</t>
  </si>
  <si>
    <t xml:space="preserve">System Prompt Leakage</t>
  </si>
  <si>
    <t xml:space="preserve">AI-CTRL-005, AI-CTRL-034</t>
  </si>
  <si>
    <t xml:space="preserve">AI-R05, AI-R06, AI-R07, AI-R16, AI-R17, AI-R20, AI-R24</t>
  </si>
  <si>
    <t xml:space="preserve">LLM08:2025</t>
  </si>
  <si>
    <t xml:space="preserve">Vector and Embedding Weaknesses</t>
  </si>
  <si>
    <t xml:space="preserve">AI-CTRL-018, AI-CTRL-019, AI-CTRL-034</t>
  </si>
  <si>
    <t xml:space="preserve">AI-R05, AI-R06, AI-R07, AI-R08, AI-R16, AI-R17, AI-R20</t>
  </si>
  <si>
    <t xml:space="preserve">LLM09:2025</t>
  </si>
  <si>
    <t xml:space="preserve">Misinformation</t>
  </si>
  <si>
    <t xml:space="preserve">LLM10:2025</t>
  </si>
  <si>
    <t xml:space="preserve">Unbounded Consumption</t>
  </si>
  <si>
    <t xml:space="preserve">AI-CTRL-028, AI-CTRL-034, AI-CTRL-036</t>
  </si>
  <si>
    <t xml:space="preserve">AI-R05, AI-R07, AI-R08, AI-R11, AI-R16, AI-R17, AI-R20</t>
  </si>
  <si>
    <t xml:space="preserve">ASI01</t>
  </si>
  <si>
    <t xml:space="preserve">Agent Goal Hijack</t>
  </si>
  <si>
    <t xml:space="preserve">ASI02</t>
  </si>
  <si>
    <t xml:space="preserve">Tool Misuse &amp; Exploitation</t>
  </si>
  <si>
    <t xml:space="preserve">AI-CTRL-022, AI-CTRL-024</t>
  </si>
  <si>
    <t xml:space="preserve">ASI03</t>
  </si>
  <si>
    <t xml:space="preserve">Identity &amp; Privilege Abuse</t>
  </si>
  <si>
    <t xml:space="preserve">ASI04</t>
  </si>
  <si>
    <t xml:space="preserve">Agentic Supply Chain Vulnerabilities</t>
  </si>
  <si>
    <t xml:space="preserve">ASI05</t>
  </si>
  <si>
    <t xml:space="preserve">Unexpected Code Execution (RCE)</t>
  </si>
  <si>
    <t xml:space="preserve">ASI06</t>
  </si>
  <si>
    <t xml:space="preserve">Memory &amp; Context Poisoning</t>
  </si>
  <si>
    <t xml:space="preserve">ASI07</t>
  </si>
  <si>
    <t xml:space="preserve">Insecure Inter-Agent Communication</t>
  </si>
  <si>
    <t xml:space="preserve">AI-CTRL-006, AI-CTRL-015</t>
  </si>
  <si>
    <t xml:space="preserve">ASI08</t>
  </si>
  <si>
    <t xml:space="preserve">Cascading Failures</t>
  </si>
  <si>
    <t xml:space="preserve">ASI09</t>
  </si>
  <si>
    <t xml:space="preserve">Human-Agent Trust Exploitation</t>
  </si>
  <si>
    <t xml:space="preserve">ASI10</t>
  </si>
  <si>
    <t xml:space="preserve">Rogue Agents</t>
  </si>
  <si>
    <t xml:space="preserve">AI-CTRL-006, AI-CTRL-025</t>
  </si>
  <si>
    <t xml:space="preserve">MCP01:2025</t>
  </si>
  <si>
    <t xml:space="preserve">Token Mismanagement &amp; Secret Exposure</t>
  </si>
  <si>
    <t xml:space="preserve">OWASP MCP Top 10 Crosswalk</t>
  </si>
  <si>
    <t xml:space="preserve">MCP02:2025</t>
  </si>
  <si>
    <t xml:space="preserve">Privilege Escalation via Scope Creep</t>
  </si>
  <si>
    <t xml:space="preserve">AI-CTRL-016, AI-CTRL-024</t>
  </si>
  <si>
    <t xml:space="preserve">AI-R07, AI-R23</t>
  </si>
  <si>
    <t xml:space="preserve">MCP03:2025</t>
  </si>
  <si>
    <t xml:space="preserve">Tool Poisoning</t>
  </si>
  <si>
    <t xml:space="preserve">AI-CTRL-024, AI-CTRL-026</t>
  </si>
  <si>
    <t xml:space="preserve">AI-R23, AI-R24</t>
  </si>
  <si>
    <t xml:space="preserve">MCP04:2025</t>
  </si>
  <si>
    <t xml:space="preserve">Software Supply Chain Attacks &amp; Dependency Tampering</t>
  </si>
  <si>
    <t xml:space="preserve">MCP05:2025</t>
  </si>
  <si>
    <t xml:space="preserve">Command Injection &amp; Execution</t>
  </si>
  <si>
    <t xml:space="preserve">AI-CTRL-020, AI-CTRL-027</t>
  </si>
  <si>
    <t xml:space="preserve">MCP06:2025</t>
  </si>
  <si>
    <t xml:space="preserve">Prompt Injection via Contextual Payloads</t>
  </si>
  <si>
    <t xml:space="preserve">AI-CTRL-005, AI-CTRL-022</t>
  </si>
  <si>
    <t xml:space="preserve">AI-R05, AI-R24</t>
  </si>
  <si>
    <t xml:space="preserve">MCP07:2025</t>
  </si>
  <si>
    <t xml:space="preserve">Insufficient Authentication &amp; Authorization</t>
  </si>
  <si>
    <t xml:space="preserve">AI-R07, AI-R46</t>
  </si>
  <si>
    <t xml:space="preserve">MCP08:2025</t>
  </si>
  <si>
    <t xml:space="preserve">Lack of Audit and Telemetry</t>
  </si>
  <si>
    <t xml:space="preserve">MCP09:2025</t>
  </si>
  <si>
    <t xml:space="preserve">Shadow MCP Servers</t>
  </si>
  <si>
    <t xml:space="preserve">AI-CTRL-001, AI-CTRL-024</t>
  </si>
  <si>
    <t xml:space="preserve">AI-R02, AI-R23</t>
  </si>
  <si>
    <t xml:space="preserve">MCP10:2025</t>
  </si>
  <si>
    <t xml:space="preserve">Context Injection &amp; Over-Sharing</t>
  </si>
  <si>
    <t xml:space="preserve">AI-CTRL-018, AI-CTRL-026</t>
  </si>
  <si>
    <t xml:space="preserve">AI-R06, AI-R21</t>
  </si>
  <si>
    <t xml:space="preserve">AML.T0010</t>
  </si>
  <si>
    <t xml:space="preserve">AI Supply Chain Compromise</t>
  </si>
  <si>
    <t xml:space="preserve">AI-CTRL-014, AI-CTRL-024, AI-CTRL-030, AI-CTRL-031</t>
  </si>
  <si>
    <t xml:space="preserve">MITRE ATLAS Crosswalk</t>
  </si>
  <si>
    <t xml:space="preserve">AML.T0012</t>
  </si>
  <si>
    <t xml:space="preserve">Valid Accounts</t>
  </si>
  <si>
    <t xml:space="preserve">AML.T0015</t>
  </si>
  <si>
    <t xml:space="preserve">Evade AI Model</t>
  </si>
  <si>
    <t xml:space="preserve">AML.T0018</t>
  </si>
  <si>
    <t xml:space="preserve">Manipulate AI Model</t>
  </si>
  <si>
    <t xml:space="preserve">AI-CTRL-028, AI-CTRL-030</t>
  </si>
  <si>
    <t xml:space="preserve">AML.T0020</t>
  </si>
  <si>
    <t xml:space="preserve">Training Data Poisoning</t>
  </si>
  <si>
    <t xml:space="preserve">AML.T0024</t>
  </si>
  <si>
    <t xml:space="preserve">Exfiltration via AI Inference API</t>
  </si>
  <si>
    <t xml:space="preserve">AML.T0025</t>
  </si>
  <si>
    <t xml:space="preserve">Exfiltration via Cyber Means</t>
  </si>
  <si>
    <t xml:space="preserve">AML.T0029</t>
  </si>
  <si>
    <t xml:space="preserve">Denial of AI Service</t>
  </si>
  <si>
    <t xml:space="preserve">AML.T0034</t>
  </si>
  <si>
    <t xml:space="preserve">Cost Harvesting</t>
  </si>
  <si>
    <t xml:space="preserve">AI-CTRL-025, AI-CTRL-036</t>
  </si>
  <si>
    <t xml:space="preserve">AML.T0043</t>
  </si>
  <si>
    <t xml:space="preserve">Craft Adversarial Data</t>
  </si>
  <si>
    <t xml:space="preserve">AML.T0044</t>
  </si>
  <si>
    <t xml:space="preserve">Full AI Model Access</t>
  </si>
  <si>
    <t xml:space="preserve">AML.T0046</t>
  </si>
  <si>
    <t xml:space="preserve">Spamming AI System with Chaff Data</t>
  </si>
  <si>
    <t xml:space="preserve">AML.T0048</t>
  </si>
  <si>
    <t xml:space="preserve">External Harms</t>
  </si>
  <si>
    <t xml:space="preserve">AML.T0049</t>
  </si>
  <si>
    <t xml:space="preserve">Exploit Public-Facing Application</t>
  </si>
  <si>
    <t xml:space="preserve">AML.T0050</t>
  </si>
  <si>
    <t xml:space="preserve">Command and Scripting Interpreter</t>
  </si>
  <si>
    <t xml:space="preserve">AML.T0051</t>
  </si>
  <si>
    <t xml:space="preserve">LLM Prompt Injection</t>
  </si>
  <si>
    <t xml:space="preserve">AI-CTRL-005, AI-CTRL-021</t>
  </si>
  <si>
    <t xml:space="preserve">AI-R03, AI-R05, AI-R06, AI-R24</t>
  </si>
  <si>
    <t xml:space="preserve">AML.T0053</t>
  </si>
  <si>
    <t xml:space="preserve">AI Agent Tool Invocation</t>
  </si>
  <si>
    <t xml:space="preserve">AI-CTRL-022, AI-CTRL-023, AI-CTRL-025</t>
  </si>
  <si>
    <t xml:space="preserve">AI-R07, AI-R11, AI-R19, AI-R21, AI-R24, AI-R25, AI-R55</t>
  </si>
  <si>
    <t xml:space="preserve">AML.T0054</t>
  </si>
  <si>
    <t xml:space="preserve">LLM Jailbreak</t>
  </si>
  <si>
    <t xml:space="preserve">AML.T0055</t>
  </si>
  <si>
    <t xml:space="preserve">Unsecured Credentials</t>
  </si>
  <si>
    <t xml:space="preserve">AI-CTRL-004, AI-CTRL-016, AI-CTRL-032</t>
  </si>
  <si>
    <t xml:space="preserve">AI-R04, AI-R06, AI-R07, AI-R08, AI-R10, AI-R22</t>
  </si>
  <si>
    <t xml:space="preserve">AML.T0056</t>
  </si>
  <si>
    <t xml:space="preserve">Extract LLM System Prompt</t>
  </si>
  <si>
    <t xml:space="preserve">AML.T0057</t>
  </si>
  <si>
    <t xml:space="preserve">LLM Data Leakage</t>
  </si>
  <si>
    <t xml:space="preserve">AI-CTRL-002, AI-CTRL-003, AI-CTRL-004, AI-CTRL-010, AI-CTRL-013, AI-CTRL-017, AI-CTRL-018, AI-CTRL-020</t>
  </si>
  <si>
    <t xml:space="preserve">AI-R01, AI-R02, AI-R03, AI-R04, AI-R05, AI-R06, AI-R10, AI-R17, AI-R22, AI-R24, AI-R26, AI-R27, AI-R28</t>
  </si>
  <si>
    <t xml:space="preserve">AML.T0059</t>
  </si>
  <si>
    <t xml:space="preserve">Erode Dataset Integrity</t>
  </si>
  <si>
    <t xml:space="preserve">AML.T0060</t>
  </si>
  <si>
    <t xml:space="preserve">Publish Hallucinated Entities</t>
  </si>
  <si>
    <t xml:space="preserve">AML.T0062</t>
  </si>
  <si>
    <t xml:space="preserve">Discover LLM Hallucinations</t>
  </si>
  <si>
    <t xml:space="preserve">AML.T0064</t>
  </si>
  <si>
    <t xml:space="preserve">Gather RAG-Indexed Targets</t>
  </si>
  <si>
    <t xml:space="preserve">AML.T0066</t>
  </si>
  <si>
    <t xml:space="preserve">Retrieval Content Crafting</t>
  </si>
  <si>
    <t xml:space="preserve">AML.T0067</t>
  </si>
  <si>
    <t xml:space="preserve">LLM Trusted Output Components Manipulation</t>
  </si>
  <si>
    <t xml:space="preserve">AML.T0068</t>
  </si>
  <si>
    <t xml:space="preserve">LLM Prompt Obfuscation</t>
  </si>
  <si>
    <t xml:space="preserve">AML.T0070</t>
  </si>
  <si>
    <t xml:space="preserve">RAG Poisoning</t>
  </si>
  <si>
    <t xml:space="preserve">AML.T0071</t>
  </si>
  <si>
    <t xml:space="preserve">False RAG Entry Injection</t>
  </si>
  <si>
    <t xml:space="preserve">AML.T0073</t>
  </si>
  <si>
    <t xml:space="preserve">Impersonation</t>
  </si>
  <si>
    <t xml:space="preserve">AML.T0077</t>
  </si>
  <si>
    <t xml:space="preserve">LLM Response Rendering</t>
  </si>
  <si>
    <t xml:space="preserve">AML.T0080</t>
  </si>
  <si>
    <t xml:space="preserve">AI Agent Context Poisoning</t>
  </si>
  <si>
    <t xml:space="preserve">AML.T0081</t>
  </si>
  <si>
    <t xml:space="preserve">Modify AI Agent Configuration</t>
  </si>
  <si>
    <t xml:space="preserve">AML.T0082</t>
  </si>
  <si>
    <t xml:space="preserve">RAG Credential Harvesting</t>
  </si>
  <si>
    <t xml:space="preserve">AML.T0083</t>
  </si>
  <si>
    <t xml:space="preserve">Credentials from AI Agent Configuration</t>
  </si>
  <si>
    <t xml:space="preserve">AML.T0085</t>
  </si>
  <si>
    <t xml:space="preserve">Data from AI Services</t>
  </si>
  <si>
    <t xml:space="preserve">AI-CTRL-017, AI-CTRL-018</t>
  </si>
  <si>
    <t xml:space="preserve">AML.T0086</t>
  </si>
  <si>
    <t xml:space="preserve">Exfiltration via AI Agent Tool Invocation</t>
  </si>
  <si>
    <t xml:space="preserve">AML.T0088</t>
  </si>
  <si>
    <t xml:space="preserve">Generate Deepfakes</t>
  </si>
  <si>
    <t xml:space="preserve">AML.T0091</t>
  </si>
  <si>
    <t xml:space="preserve">Use Alternate Authentication Material</t>
  </si>
  <si>
    <t xml:space="preserve">AML.T0092</t>
  </si>
  <si>
    <t xml:space="preserve">Manipulate User LLM Chat History</t>
  </si>
  <si>
    <t xml:space="preserve">AML.T0093</t>
  </si>
  <si>
    <t xml:space="preserve">Prompt Infiltration via Public-Facing Application</t>
  </si>
  <si>
    <t xml:space="preserve">AML.T0094</t>
  </si>
  <si>
    <t xml:space="preserve">Delay Execution of LLM Instructions</t>
  </si>
  <si>
    <t xml:space="preserve">AML.T0098</t>
  </si>
  <si>
    <t xml:space="preserve">AI Agent Tool Credential Harvesting</t>
  </si>
  <si>
    <t xml:space="preserve">AML.T0099</t>
  </si>
  <si>
    <t xml:space="preserve">AI Agent Tool Data Poisoning</t>
  </si>
  <si>
    <t xml:space="preserve">AML.T0101</t>
  </si>
  <si>
    <t xml:space="preserve">Data Destruction via AI Agent Tool Invocation</t>
  </si>
  <si>
    <t xml:space="preserve">AI-CTRL-022, AI-CTRL-023</t>
  </si>
  <si>
    <t xml:space="preserve">AI-R07, AI-R19, AI-R24</t>
  </si>
  <si>
    <t xml:space="preserve">AML.T0102</t>
  </si>
  <si>
    <t xml:space="preserve">Generate Malicious Commands</t>
  </si>
  <si>
    <t xml:space="preserve">AML.T0105</t>
  </si>
  <si>
    <t xml:space="preserve">Escape to Host</t>
  </si>
  <si>
    <t xml:space="preserve">AML.T0109</t>
  </si>
  <si>
    <t xml:space="preserve">AI Supply Chain Rug Pull</t>
  </si>
  <si>
    <t xml:space="preserve">AML.T0110</t>
  </si>
  <si>
    <t xml:space="preserve">AI Agent Tool Poisoning</t>
  </si>
  <si>
    <t xml:space="preserve">AML.T0111</t>
  </si>
  <si>
    <t xml:space="preserve">AI Supply Chain Reputation Inflation</t>
  </si>
  <si>
    <t xml:space="preserve">AML.T0115</t>
  </si>
  <si>
    <t xml:space="preserve">Publish Poisoned AI Artifacts</t>
  </si>
  <si>
    <t xml:space="preserve">AML.T0119</t>
  </si>
  <si>
    <t xml:space="preserve">Exploit Automated Artifact Processing Pipeline</t>
  </si>
  <si>
    <t xml:space="preserve">AML.T0129</t>
  </si>
  <si>
    <t xml:space="preserve">Triggers in Multimodal Inputs</t>
  </si>
  <si>
    <t xml:space="preserve">AML.T0132</t>
  </si>
  <si>
    <t xml:space="preserve">Misconfigured or Publicly Exposed AI Services</t>
  </si>
  <si>
    <t xml:space="preserve">AML.M0003</t>
  </si>
  <si>
    <t xml:space="preserve">Predictive AI Model Hardening</t>
  </si>
  <si>
    <t xml:space="preserve">AML.M0004</t>
  </si>
  <si>
    <t xml:space="preserve">Limit AI Service Query Volume and Rate</t>
  </si>
  <si>
    <t xml:space="preserve">AI-CTRL-028, AI-CTRL-036</t>
  </si>
  <si>
    <t xml:space="preserve">AI-R08, AI-R11</t>
  </si>
  <si>
    <t xml:space="preserve">AML.M0005</t>
  </si>
  <si>
    <t xml:space="preserve">Control Access to AI Models and Data at Rest</t>
  </si>
  <si>
    <t xml:space="preserve">AI-CTRL-017, AI-CTRL-028, AI-CTRL-032</t>
  </si>
  <si>
    <t xml:space="preserve">AML.M0007</t>
  </si>
  <si>
    <t xml:space="preserve">Sanitize Training Data</t>
  </si>
  <si>
    <t xml:space="preserve">AML.M0008</t>
  </si>
  <si>
    <t xml:space="preserve">Validate AI Model</t>
  </si>
  <si>
    <t xml:space="preserve">AML.M0011</t>
  </si>
  <si>
    <t xml:space="preserve">Restrict Library Loading</t>
  </si>
  <si>
    <t xml:space="preserve">AML.M0012</t>
  </si>
  <si>
    <t xml:space="preserve">Encrypt Sensitive Information</t>
  </si>
  <si>
    <t xml:space="preserve">AML.M0013</t>
  </si>
  <si>
    <t xml:space="preserve">Code Signing</t>
  </si>
  <si>
    <t xml:space="preserve">AML.M0014</t>
  </si>
  <si>
    <t xml:space="preserve">Verify AI Artifacts</t>
  </si>
  <si>
    <t xml:space="preserve">AI-CTRL-024, AI-CTRL-030, AI-CTRL-031</t>
  </si>
  <si>
    <t xml:space="preserve">AML.M0015</t>
  </si>
  <si>
    <t xml:space="preserve">Predictive AI Adversarial Input Detection</t>
  </si>
  <si>
    <t xml:space="preserve">AML.M0016</t>
  </si>
  <si>
    <t xml:space="preserve">Vulnerability Scanning</t>
  </si>
  <si>
    <t xml:space="preserve">AI-CTRL-031, AI-CTRL-032</t>
  </si>
  <si>
    <t xml:space="preserve">AI-R08, AI-R10, AI-R16, AI-R23</t>
  </si>
  <si>
    <t xml:space="preserve">AML.M0018</t>
  </si>
  <si>
    <t xml:space="preserve">User Training</t>
  </si>
  <si>
    <t xml:space="preserve">AML.M0019</t>
  </si>
  <si>
    <t xml:space="preserve">Control Access to AI Models and Data in Production</t>
  </si>
  <si>
    <t xml:space="preserve">AI-CTRL-015, AI-CTRL-018, AI-CTRL-032</t>
  </si>
  <si>
    <t xml:space="preserve">AI-R06, AI-R07, AI-R08, AI-R10, AI-R22, AI-R25</t>
  </si>
  <si>
    <t xml:space="preserve">AML.M0020</t>
  </si>
  <si>
    <t xml:space="preserve">Generative AI Guardrails</t>
  </si>
  <si>
    <t xml:space="preserve">AI-CTRL-002, AI-CTRL-003, AI-CTRL-005, AI-CTRL-010, AI-CTRL-020, AI-CTRL-021, AI-CTRL-039</t>
  </si>
  <si>
    <t xml:space="preserve">AI-R01, AI-R02, AI-R03, AI-R05, AI-R06, AI-R12, AI-R14, AI-R20, AI-R24, AI-R26, AI-R27</t>
  </si>
  <si>
    <t xml:space="preserve">AML.M0021</t>
  </si>
  <si>
    <t xml:space="preserve">Generative AI Guidelines</t>
  </si>
  <si>
    <t xml:space="preserve">AML.M0022</t>
  </si>
  <si>
    <t xml:space="preserve">Generative AI Model Alignment</t>
  </si>
  <si>
    <t xml:space="preserve">AML.M0023</t>
  </si>
  <si>
    <t xml:space="preserve">AI Bill of Materials</t>
  </si>
  <si>
    <t xml:space="preserve">AML.M0024</t>
  </si>
  <si>
    <t xml:space="preserve">AI Telemetry Logging</t>
  </si>
  <si>
    <t xml:space="preserve">AI-CTRL-006, AI-CTRL-008, AI-CTRL-009, AI-CTRL-035</t>
  </si>
  <si>
    <t xml:space="preserve">AI-R07, AI-R09, AI-R15, AI-R20, AI-R25, AI-R26</t>
  </si>
  <si>
    <t xml:space="preserve">AML.M0025</t>
  </si>
  <si>
    <t xml:space="preserve">Maintain AI Dataset Provenance</t>
  </si>
  <si>
    <t xml:space="preserve">AML.M0026</t>
  </si>
  <si>
    <t xml:space="preserve">Privileged AI Agent Permissions Configuration</t>
  </si>
  <si>
    <t xml:space="preserve">AML.M0027</t>
  </si>
  <si>
    <t xml:space="preserve">Single-User AI Agent Permissions Configuration</t>
  </si>
  <si>
    <t xml:space="preserve">AML.M0028</t>
  </si>
  <si>
    <t xml:space="preserve">AI Agent Tools Permissions Configuration</t>
  </si>
  <si>
    <t xml:space="preserve">AI-CTRL-016, AI-CTRL-022, AI-CTRL-024</t>
  </si>
  <si>
    <t xml:space="preserve">AI-R06, AI-R07, AI-R08, AI-R22, AI-R23, AI-R24</t>
  </si>
  <si>
    <t xml:space="preserve">AML.M0029</t>
  </si>
  <si>
    <t xml:space="preserve">Human In-the-Loop for AI Agent Actions</t>
  </si>
  <si>
    <t xml:space="preserve">AML.M0030</t>
  </si>
  <si>
    <t xml:space="preserve">Restrict AI Agent Tool Invocation on Untrusted Data</t>
  </si>
  <si>
    <t xml:space="preserve">AML.M0031</t>
  </si>
  <si>
    <t xml:space="preserve">Memory Hardening</t>
  </si>
  <si>
    <t xml:space="preserve">AML.M0032</t>
  </si>
  <si>
    <t xml:space="preserve">Segmentation of AI Agent Components</t>
  </si>
  <si>
    <t xml:space="preserve">AML.M0033</t>
  </si>
  <si>
    <t xml:space="preserve">Input and Output Validation for AI Agent Components</t>
  </si>
  <si>
    <t xml:space="preserve">AI-CTRL-005, AI-CTRL-020, AI-CTRL-022</t>
  </si>
  <si>
    <t xml:space="preserve">AI-R05, AI-R06, AI-R07, AI-R24, AI-R26</t>
  </si>
  <si>
    <t xml:space="preserve">AML.M0034</t>
  </si>
  <si>
    <t xml:space="preserve">Deepfake Detection</t>
  </si>
  <si>
    <t xml:space="preserve">AML.M0035</t>
  </si>
  <si>
    <t xml:space="preserve">AI Red Team</t>
  </si>
  <si>
    <t xml:space="preserve">AML.M0036</t>
  </si>
  <si>
    <t xml:space="preserve">Limit AI Workload Resource Consumption</t>
  </si>
  <si>
    <t xml:space="preserve">AI-R07, AI-R11, AI-R13, AI-R16, AI-R21, AI-R25, AI-R55</t>
  </si>
  <si>
    <t xml:space="preserve">AML.M0037</t>
  </si>
  <si>
    <t xml:space="preserve">AI Agent Authority Expansion Controls</t>
  </si>
  <si>
    <t xml:space="preserve">AML.M0038</t>
  </si>
  <si>
    <t xml:space="preserve">AI Agent Scope Drift Detection</t>
  </si>
  <si>
    <t xml:space="preserve">3.5 Security of agents</t>
  </si>
  <si>
    <t xml:space="preserve">AI-CTRL-006, AI-CTRL-022, AI-CTRL-023, AI-CTRL-024, AI-CTRL-025, AI-CTRL-026, AI-CTRL-027; Agentic AI Security and Tool Governance</t>
  </si>
  <si>
    <t xml:space="preserve">AI-CTRL-006, AI-CTRL-022, AI-CTRL-023, AI-CTRL-024, AI-CTRL-025, AI-CTRL-026, AI-CTRL-027</t>
  </si>
  <si>
    <t xml:space="preserve">AI-R05, AI-R07, AI-R08, AI-R11, AI-R19, AI-R21, AI-R22, AI-R23, AI-R24, AI-R25, AI-R55</t>
  </si>
  <si>
    <t xml:space="preserve">NIST AI 100-2 Crosswalk</t>
  </si>
  <si>
    <t xml:space="preserve">3.6 Benchmarks for AML vulnerabilities</t>
  </si>
  <si>
    <t xml:space="preserve">AI-CTRL-034; AI Red Teaming and Continuous Testing</t>
  </si>
  <si>
    <t xml:space="preserve">4.1 Key challenges in AML</t>
  </si>
  <si>
    <t xml:space="preserve">Limitations and Research Gaps</t>
  </si>
  <si>
    <t xml:space="preserve">NISTAML.011</t>
  </si>
  <si>
    <t xml:space="preserve">Model poisoning</t>
  </si>
  <si>
    <t xml:space="preserve">AI-CTRL-028, AI-CTRL-030, AI-CTRL-031</t>
  </si>
  <si>
    <t xml:space="preserve">NISTAML.012</t>
  </si>
  <si>
    <t xml:space="preserve">Clean-label poisoning</t>
  </si>
  <si>
    <t xml:space="preserve">AI-CTRL-029, AI-CTRL-034</t>
  </si>
  <si>
    <t xml:space="preserve">AI-R05, AI-R07, AI-R08, AI-R16, AI-R17, AI-R20</t>
  </si>
  <si>
    <t xml:space="preserve">NISTAML.013</t>
  </si>
  <si>
    <t xml:space="preserve">Data poisoning</t>
  </si>
  <si>
    <t xml:space="preserve">AI-CTRL-019, AI-CTRL-029, AI-CTRL-034</t>
  </si>
  <si>
    <t xml:space="preserve">NISTAML.014</t>
  </si>
  <si>
    <t xml:space="preserve">Energy-latency</t>
  </si>
  <si>
    <t xml:space="preserve">NISTAML.015</t>
  </si>
  <si>
    <t xml:space="preserve">Indirect prompt injection</t>
  </si>
  <si>
    <t xml:space="preserve">AI-CTRL-005, AI-CTRL-019, AI-CTRL-022, AI-CTRL-026</t>
  </si>
  <si>
    <t xml:space="preserve">AI-R05, AI-R06, AI-R07, AI-R08, AI-R17, AI-R21, AI-R24</t>
  </si>
  <si>
    <t xml:space="preserve">NISTAML.018</t>
  </si>
  <si>
    <t xml:space="preserve">Prompt injection</t>
  </si>
  <si>
    <t xml:space="preserve">AI-CTRL-002, AI-CTRL-005, AI-CTRL-034</t>
  </si>
  <si>
    <t xml:space="preserve">AI-R01, AI-R03, AI-R05, AI-R06, AI-R07, AI-R16, AI-R17, AI-R20, AI-R24, AI-R27</t>
  </si>
  <si>
    <t xml:space="preserve">NISTAML.021</t>
  </si>
  <si>
    <t xml:space="preserve">Clean-label backdoor</t>
  </si>
  <si>
    <t xml:space="preserve">AI-CTRL-029, AI-CTRL-031, AI-CTRL-034</t>
  </si>
  <si>
    <t xml:space="preserve">NISTAML.022</t>
  </si>
  <si>
    <t xml:space="preserve">Evasion</t>
  </si>
  <si>
    <t xml:space="preserve">AI-CTRL-005, AI-CTRL-021, AI-CTRL-034</t>
  </si>
  <si>
    <t xml:space="preserve">AI-R03, AI-R05, AI-R06, AI-R07, AI-R16, AI-R17, AI-R20, AI-R24</t>
  </si>
  <si>
    <t xml:space="preserve">NISTAML.023</t>
  </si>
  <si>
    <t xml:space="preserve">Backdoor poisoning</t>
  </si>
  <si>
    <t xml:space="preserve">NISTAML.024</t>
  </si>
  <si>
    <t xml:space="preserve">Targeted poisoning</t>
  </si>
  <si>
    <t xml:space="preserve">NISTAML.025</t>
  </si>
  <si>
    <t xml:space="preserve">Black-box evasion</t>
  </si>
  <si>
    <t xml:space="preserve">AI-CTRL-005, AI-CTRL-034, AI-CTRL-036</t>
  </si>
  <si>
    <t xml:space="preserve">AI-R05, AI-R06, AI-R07, AI-R11, AI-R16, AI-R17, AI-R20, AI-R24</t>
  </si>
  <si>
    <t xml:space="preserve">NISTAML.026</t>
  </si>
  <si>
    <t xml:space="preserve">NISTAML.027</t>
  </si>
  <si>
    <t xml:space="preserve">Misaligned outputs</t>
  </si>
  <si>
    <t xml:space="preserve">AI-CTRL-034, AI-CTRL-039, AI-CTRL-045</t>
  </si>
  <si>
    <t xml:space="preserve">NISTAML.031</t>
  </si>
  <si>
    <t xml:space="preserve">Model extraction</t>
  </si>
  <si>
    <t xml:space="preserve">NISTAML.032</t>
  </si>
  <si>
    <t xml:space="preserve">Reconstruction</t>
  </si>
  <si>
    <t xml:space="preserve">AI-CTRL-017, AI-CTRL-028, AI-CTRL-034</t>
  </si>
  <si>
    <t xml:space="preserve">AI-R01, AI-R03, AI-R05, AI-R06, AI-R07, AI-R08, AI-R16, AI-R17, AI-R20</t>
  </si>
  <si>
    <t xml:space="preserve">NISTAML.033</t>
  </si>
  <si>
    <t xml:space="preserve">Membership inference</t>
  </si>
  <si>
    <t xml:space="preserve">NISTAML.034</t>
  </si>
  <si>
    <t xml:space="preserve">Property inference</t>
  </si>
  <si>
    <t xml:space="preserve">AI-CTRL-017, AI-CTRL-028</t>
  </si>
  <si>
    <t xml:space="preserve">AI-R01, AI-R03, AI-R06, AI-R08, AI-R17</t>
  </si>
  <si>
    <t xml:space="preserve">NISTAML.035</t>
  </si>
  <si>
    <t xml:space="preserve">Prompt extraction</t>
  </si>
  <si>
    <t xml:space="preserve">NISTAML.036</t>
  </si>
  <si>
    <t xml:space="preserve">Leaking information from user interactions</t>
  </si>
  <si>
    <t xml:space="preserve">AI-CTRL-017, AI-CTRL-018, AI-CTRL-020</t>
  </si>
  <si>
    <t xml:space="preserve">AI-R01, AI-R03, AI-R05, AI-R06, AI-R17, AI-R24, AI-R26</t>
  </si>
  <si>
    <t xml:space="preserve">NISTAML.037</t>
  </si>
  <si>
    <t xml:space="preserve">Training data attacks</t>
  </si>
  <si>
    <t xml:space="preserve">AI-CTRL-017, AI-CTRL-028, AI-CTRL-029</t>
  </si>
  <si>
    <t xml:space="preserve">NISTAML.038</t>
  </si>
  <si>
    <t xml:space="preserve">Data extraction</t>
  </si>
  <si>
    <t xml:space="preserve">AI-CTRL-017, AI-CTRL-020, AI-CTRL-028</t>
  </si>
  <si>
    <t xml:space="preserve">AI-R01, AI-R03, AI-R05, AI-R06, AI-R08, AI-R17, AI-R24, AI-R26</t>
  </si>
  <si>
    <t xml:space="preserve">NISTAML.039</t>
  </si>
  <si>
    <t xml:space="preserve">Compromising connected resources</t>
  </si>
  <si>
    <t xml:space="preserve">AI-CTRL-016, AI-CTRL-022, AI-CTRL-024, AI-CTRL-027</t>
  </si>
  <si>
    <t xml:space="preserve">AI-R06, AI-R07, AI-R08, AI-R21, AI-R22, AI-R23, AI-R24, AI-R25, AI-R55</t>
  </si>
  <si>
    <t xml:space="preserve">NISTAML.051</t>
  </si>
  <si>
    <t xml:space="preserve">Model poisoning (supply chain)</t>
  </si>
  <si>
    <t xml:space="preserve">A.2.2</t>
  </si>
  <si>
    <t xml:space="preserve">AI policy</t>
  </si>
  <si>
    <t xml:space="preserve">ISO/IEC 42001 Crosswalk</t>
  </si>
  <si>
    <t xml:space="preserve">A.2.3</t>
  </si>
  <si>
    <t xml:space="preserve">Alignment with other organizational policies</t>
  </si>
  <si>
    <t xml:space="preserve">A.2.4</t>
  </si>
  <si>
    <t xml:space="preserve">Review of the AI policy</t>
  </si>
  <si>
    <t xml:space="preserve">A.3.2</t>
  </si>
  <si>
    <t xml:space="preserve">AI roles and responsibilities</t>
  </si>
  <si>
    <t xml:space="preserve">A.3.3</t>
  </si>
  <si>
    <t xml:space="preserve">Reporting of concerns</t>
  </si>
  <si>
    <t xml:space="preserve">A.4.2</t>
  </si>
  <si>
    <t xml:space="preserve">Resource documentation</t>
  </si>
  <si>
    <t xml:space="preserve">AI-CTRL-001, AI-CTRL-006, AI-CTRL-011, AI-CTRL-031</t>
  </si>
  <si>
    <t xml:space="preserve">AI-R02, AI-R07, AI-R08, AI-R16, AI-R18, AI-R23, AI-R25</t>
  </si>
  <si>
    <t xml:space="preserve">A.4.3</t>
  </si>
  <si>
    <t xml:space="preserve">Data resources</t>
  </si>
  <si>
    <t xml:space="preserve">A.4.4</t>
  </si>
  <si>
    <t xml:space="preserve">Tooling resources</t>
  </si>
  <si>
    <t xml:space="preserve">AI-CTRL-004, AI-CTRL-024</t>
  </si>
  <si>
    <t xml:space="preserve">AI-R04, AI-R07, AI-R08, AI-R22, AI-R23, AI-R24</t>
  </si>
  <si>
    <t xml:space="preserve">A.4.5</t>
  </si>
  <si>
    <t xml:space="preserve">System and computing resources</t>
  </si>
  <si>
    <t xml:space="preserve">AI-CTRL-007, AI-CTRL-027, AI-CTRL-032, AI-CTRL-036, AI-CTRL-040</t>
  </si>
  <si>
    <t xml:space="preserve">AI-R07, AI-R08, AI-R10, AI-R11, AI-R13, AI-R16, AI-R21, AI-R22, AI-R25, AI-R55</t>
  </si>
  <si>
    <t xml:space="preserve">A.4.6</t>
  </si>
  <si>
    <t xml:space="preserve">Human resources</t>
  </si>
  <si>
    <t xml:space="preserve">A.5.2</t>
  </si>
  <si>
    <t xml:space="preserve">AI system impact assessment process</t>
  </si>
  <si>
    <t xml:space="preserve">AI-CTRL-011, AI-CTRL-013, AI-CTRL-033, AI-CTRL-042</t>
  </si>
  <si>
    <t xml:space="preserve">AI-R02, AI-R03, AI-R05, AI-R07, AI-R08, AI-R10, AI-R12, AI-R14, AI-R16, AI-R18, AI-R27, AI-R28, AI-R55</t>
  </si>
  <si>
    <t xml:space="preserve">A.5.3</t>
  </si>
  <si>
    <t xml:space="preserve">Documentation of AI system impact assessments</t>
  </si>
  <si>
    <t xml:space="preserve">AI-CTRL-013, AI-CTRL-042</t>
  </si>
  <si>
    <t xml:space="preserve">AI-R03, AI-R10, AI-R12, AI-R27, AI-R28</t>
  </si>
  <si>
    <t xml:space="preserve">A.5.4</t>
  </si>
  <si>
    <t xml:space="preserve">Assessing AI system impact on individuals or groups of individuals</t>
  </si>
  <si>
    <t xml:space="preserve">A.5.5</t>
  </si>
  <si>
    <t xml:space="preserve">Assessing societal impacts of AI systems</t>
  </si>
  <si>
    <t xml:space="preserve">A.6.1.2</t>
  </si>
  <si>
    <t xml:space="preserve">Objectives for responsible development of AI systems</t>
  </si>
  <si>
    <t xml:space="preserve">A.6.1.3</t>
  </si>
  <si>
    <t xml:space="preserve">Processes for responsible design and development</t>
  </si>
  <si>
    <t xml:space="preserve">AI-CTRL-030, AI-CTRL-033</t>
  </si>
  <si>
    <t xml:space="preserve">A.6.2.2</t>
  </si>
  <si>
    <t xml:space="preserve">AI system requirements and specification</t>
  </si>
  <si>
    <t xml:space="preserve">AI-CTRL-022, AI-CTRL-033</t>
  </si>
  <si>
    <t xml:space="preserve">AI-R05, AI-R07, AI-R08, AI-R14, AI-R16, AI-R24, AI-R55</t>
  </si>
  <si>
    <t xml:space="preserve">A.6.2.3</t>
  </si>
  <si>
    <t xml:space="preserve">Documentation of AI system design and development</t>
  </si>
  <si>
    <t xml:space="preserve">A.6.2.4</t>
  </si>
  <si>
    <t xml:space="preserve">AI system verification and validation</t>
  </si>
  <si>
    <t xml:space="preserve">AI-CTRL-005, AI-CTRL-020, AI-CTRL-021, AI-CTRL-028, AI-CTRL-033, AI-CTRL-034, AI-CTRL-039, AI-CTRL-041</t>
  </si>
  <si>
    <t xml:space="preserve">AI-R03, AI-R05, AI-R06, AI-R07, AI-R08, AI-R12, AI-R14, AI-R15, AI-R16, AI-R17, AI-R20, AI-R24, AI-R26, AI-R55</t>
  </si>
  <si>
    <t xml:space="preserve">A.6.2.5</t>
  </si>
  <si>
    <t xml:space="preserve">AI system deployment</t>
  </si>
  <si>
    <t xml:space="preserve">AI-CTRL-027, AI-CTRL-030, AI-CTRL-033</t>
  </si>
  <si>
    <t xml:space="preserve">AI-R05, AI-R07, AI-R08, AI-R14, AI-R16, AI-R21, AI-R22, AI-R25, AI-R55</t>
  </si>
  <si>
    <t xml:space="preserve">A.6.2.6</t>
  </si>
  <si>
    <t xml:space="preserve">AI system operation and monitoring</t>
  </si>
  <si>
    <t xml:space="preserve">AI-CTRL-005, AI-CTRL-006, AI-CTRL-009, AI-CTRL-020, AI-CTRL-025, AI-CTRL-026, AI-CTRL-028, AI-CTRL-035, AI-CTRL-040</t>
  </si>
  <si>
    <t xml:space="preserve">AI-R05, AI-R06, AI-R07, AI-R08, AI-R09, AI-R11, AI-R13, AI-R16, AI-R20, AI-R21, AI-R24, AI-R25, AI-R26, AI-R55</t>
  </si>
  <si>
    <t xml:space="preserve">A.6.2.7</t>
  </si>
  <si>
    <t xml:space="preserve">AI system technical documentation</t>
  </si>
  <si>
    <t xml:space="preserve">AI-CTRL-030, AI-CTRL-031</t>
  </si>
  <si>
    <t xml:space="preserve">A.6.2.8</t>
  </si>
  <si>
    <t xml:space="preserve">AI system recording of event logs</t>
  </si>
  <si>
    <t xml:space="preserve">A.7.2</t>
  </si>
  <si>
    <t xml:space="preserve">Data for development and enhancement of AI system</t>
  </si>
  <si>
    <t xml:space="preserve">A.7.3</t>
  </si>
  <si>
    <t xml:space="preserve">Acquisition of data</t>
  </si>
  <si>
    <t xml:space="preserve">A.7.4</t>
  </si>
  <si>
    <t xml:space="preserve">Quality of data for AI systems</t>
  </si>
  <si>
    <t xml:space="preserve">A.7.5</t>
  </si>
  <si>
    <t xml:space="preserve">Data provenance</t>
  </si>
  <si>
    <t xml:space="preserve">AI-CTRL-019, AI-CTRL-029, AI-CTRL-031, AI-CTRL-046</t>
  </si>
  <si>
    <t xml:space="preserve">AI-R05, AI-R08, AI-R16, AI-R17, AI-R23, AI-R27</t>
  </si>
  <si>
    <t xml:space="preserve">A.7.6</t>
  </si>
  <si>
    <t xml:space="preserve">Data preparation</t>
  </si>
  <si>
    <t xml:space="preserve">A.8.2</t>
  </si>
  <si>
    <t xml:space="preserve">System documentation and information for users</t>
  </si>
  <si>
    <t xml:space="preserve">AI-CTRL-039, AI-CTRL-041</t>
  </si>
  <si>
    <t xml:space="preserve">AI-R12, AI-R14, AI-R15, AI-R20</t>
  </si>
  <si>
    <t xml:space="preserve">A.8.3</t>
  </si>
  <si>
    <t xml:space="preserve">External reporting</t>
  </si>
  <si>
    <t xml:space="preserve">AI-CTRL-035, AI-CTRL-043</t>
  </si>
  <si>
    <t xml:space="preserve">AI-R09, AI-R10, AI-R20</t>
  </si>
  <si>
    <t xml:space="preserve">A.8.4</t>
  </si>
  <si>
    <t xml:space="preserve">Communication of incidents</t>
  </si>
  <si>
    <t xml:space="preserve">A.8.5</t>
  </si>
  <si>
    <t xml:space="preserve">Information for interested parties</t>
  </si>
  <si>
    <t xml:space="preserve">A.9.2</t>
  </si>
  <si>
    <t xml:space="preserve">Processes for responsible use of AI systems</t>
  </si>
  <si>
    <t xml:space="preserve">AI-CTRL-002, AI-CTRL-003, AI-CTRL-004, AI-CTRL-010, AI-CTRL-023, AI-CTRL-045</t>
  </si>
  <si>
    <t xml:space="preserve">AI-R01, AI-R02, AI-R03, AI-R04, AI-R07, AI-R12, AI-R14, AI-R18, AI-R19, AI-R22, AI-R27, AI-R28</t>
  </si>
  <si>
    <t xml:space="preserve">A.9.3</t>
  </si>
  <si>
    <t xml:space="preserve">Objectives for responsible use of AI system</t>
  </si>
  <si>
    <t xml:space="preserve">A.9.4</t>
  </si>
  <si>
    <t xml:space="preserve">Intended use of the AI system</t>
  </si>
  <si>
    <t xml:space="preserve">A.10.2</t>
  </si>
  <si>
    <t xml:space="preserve">Allocating responsibilities</t>
  </si>
  <si>
    <t xml:space="preserve">A.10.3</t>
  </si>
  <si>
    <t xml:space="preserve">Suppliers</t>
  </si>
  <si>
    <t xml:space="preserve">AI-CTRL-007, AI-CTRL-014, AI-CTRL-024, AI-CTRL-031, AI-CTRL-046</t>
  </si>
  <si>
    <t xml:space="preserve">A.10.4</t>
  </si>
  <si>
    <t xml:space="preserve">Customers</t>
  </si>
  <si>
    <t xml:space="preserve">Clause 4.2</t>
  </si>
  <si>
    <t xml:space="preserve">Understanding the needs and expectations of interested parties</t>
  </si>
  <si>
    <t xml:space="preserve">Clause 6.1.2</t>
  </si>
  <si>
    <t xml:space="preserve">AI risk assessment</t>
  </si>
  <si>
    <t xml:space="preserve">Clause 6.1.3</t>
  </si>
  <si>
    <t xml:space="preserve">AI risk treatment</t>
  </si>
  <si>
    <t xml:space="preserve">Clause 7.2</t>
  </si>
  <si>
    <t xml:space="preserve">Competence</t>
  </si>
  <si>
    <t xml:space="preserve">Clause 7.3</t>
  </si>
  <si>
    <t xml:space="preserve">Awareness</t>
  </si>
  <si>
    <t xml:space="preserve">Clause 9.1</t>
  </si>
  <si>
    <t xml:space="preserve">Monitoring, measurement, analysis and evaluation</t>
  </si>
  <si>
    <t xml:space="preserve">Clause 9.2</t>
  </si>
  <si>
    <t xml:space="preserve">Internal audit</t>
  </si>
  <si>
    <t xml:space="preserve">Clause 9.3</t>
  </si>
  <si>
    <t xml:space="preserve">Management review</t>
  </si>
  <si>
    <t xml:space="preserve">Clause 10.2</t>
  </si>
  <si>
    <t xml:space="preserve">Nonconformity and corrective action</t>
  </si>
  <si>
    <t xml:space="preserve">A.5.1</t>
  </si>
  <si>
    <t xml:space="preserve">Policies for information security</t>
  </si>
  <si>
    <t xml:space="preserve">ISO/IEC 27001 Crosswalk</t>
  </si>
  <si>
    <t xml:space="preserve">Information security roles and responsibilities</t>
  </si>
  <si>
    <t xml:space="preserve">Segregation of duties</t>
  </si>
  <si>
    <t xml:space="preserve">Management responsibilities</t>
  </si>
  <si>
    <t xml:space="preserve">Contact with authorities</t>
  </si>
  <si>
    <t xml:space="preserve">A.5.6</t>
  </si>
  <si>
    <t xml:space="preserve">Contact with special interest groups</t>
  </si>
  <si>
    <t xml:space="preserve">A.5.7</t>
  </si>
  <si>
    <t xml:space="preserve">Threat intelligence</t>
  </si>
  <si>
    <t xml:space="preserve">A.5.8</t>
  </si>
  <si>
    <t xml:space="preserve">Information security in project management</t>
  </si>
  <si>
    <t xml:space="preserve">AI-CTRL-011, AI-CTRL-033, AI-CTRL-042</t>
  </si>
  <si>
    <t xml:space="preserve">AI-R02, AI-R05, AI-R07, AI-R08, AI-R10, AI-R12, AI-R14, AI-R16, AI-R18, AI-R28, AI-R55</t>
  </si>
  <si>
    <t xml:space="preserve">A.5.9</t>
  </si>
  <si>
    <t xml:space="preserve">Inventory of information and other associated assets</t>
  </si>
  <si>
    <t xml:space="preserve">AI-CTRL-001, AI-CTRL-011, AI-CTRL-029, AI-CTRL-031</t>
  </si>
  <si>
    <t xml:space="preserve">AI-R02, AI-R08, AI-R16, AI-R18, AI-R23</t>
  </si>
  <si>
    <t xml:space="preserve">A.5.10</t>
  </si>
  <si>
    <t xml:space="preserve">Acceptable use of information and other associated assets</t>
  </si>
  <si>
    <t xml:space="preserve">AI-CTRL-003, AI-CTRL-010, AI-CTRL-012</t>
  </si>
  <si>
    <t xml:space="preserve">A.5.11</t>
  </si>
  <si>
    <t xml:space="preserve">Return of assets</t>
  </si>
  <si>
    <t xml:space="preserve">A.5.12</t>
  </si>
  <si>
    <t xml:space="preserve">Classification of information</t>
  </si>
  <si>
    <t xml:space="preserve">AI-CTRL-002, AI-CTRL-010, AI-CTRL-011, AI-CTRL-017</t>
  </si>
  <si>
    <t xml:space="preserve">AI-R01, AI-R02, AI-R03, AI-R06, AI-R17, AI-R18, AI-R27</t>
  </si>
  <si>
    <t xml:space="preserve">A.5.13</t>
  </si>
  <si>
    <t xml:space="preserve">Labelling of information</t>
  </si>
  <si>
    <t xml:space="preserve">A.5.14</t>
  </si>
  <si>
    <t xml:space="preserve">Information transfer</t>
  </si>
  <si>
    <t xml:space="preserve">AI-CTRL-003, AI-CTRL-007</t>
  </si>
  <si>
    <t xml:space="preserve">AI-R01, AI-R03, AI-R10, AI-R27</t>
  </si>
  <si>
    <t xml:space="preserve">A.5.15</t>
  </si>
  <si>
    <t xml:space="preserve">Access control</t>
  </si>
  <si>
    <t xml:space="preserve">AI-CTRL-006, AI-CTRL-016, AI-CTRL-018, AI-CTRL-022, AI-CTRL-028</t>
  </si>
  <si>
    <t xml:space="preserve">AI-R06, AI-R07, AI-R08, AI-R22, AI-R24, AI-R25</t>
  </si>
  <si>
    <t xml:space="preserve">A.5.16</t>
  </si>
  <si>
    <t xml:space="preserve">Identity management</t>
  </si>
  <si>
    <t xml:space="preserve">A.5.17</t>
  </si>
  <si>
    <t xml:space="preserve">Authentication information</t>
  </si>
  <si>
    <t xml:space="preserve">A.5.18</t>
  </si>
  <si>
    <t xml:space="preserve">Access rights</t>
  </si>
  <si>
    <t xml:space="preserve">AI-CTRL-016, AI-CTRL-025</t>
  </si>
  <si>
    <t xml:space="preserve">AI-R06, AI-R07, AI-R08, AI-R11, AI-R21, AI-R22, AI-R25, AI-R55</t>
  </si>
  <si>
    <t xml:space="preserve">A.5.19</t>
  </si>
  <si>
    <t xml:space="preserve">Information security in supplier relationships</t>
  </si>
  <si>
    <t xml:space="preserve">AI-CTRL-014, AI-CTRL-024</t>
  </si>
  <si>
    <t xml:space="preserve">A.5.20</t>
  </si>
  <si>
    <t xml:space="preserve">Addressing information security within supplier agreements</t>
  </si>
  <si>
    <t xml:space="preserve">AI-CTRL-014, AI-CTRL-046</t>
  </si>
  <si>
    <t xml:space="preserve">AI-R08, AI-R10, AI-R16, AI-R27</t>
  </si>
  <si>
    <t xml:space="preserve">A.5.21</t>
  </si>
  <si>
    <t xml:space="preserve">Managing information security in the ICT supply chain</t>
  </si>
  <si>
    <t xml:space="preserve">AI-CTRL-014, AI-CTRL-024, AI-CTRL-029, AI-CTRL-031</t>
  </si>
  <si>
    <t xml:space="preserve">A.5.22</t>
  </si>
  <si>
    <t xml:space="preserve">Monitoring, review and change management of supplier services</t>
  </si>
  <si>
    <t xml:space="preserve">A.5.23</t>
  </si>
  <si>
    <t xml:space="preserve">Information security for use of cloud services</t>
  </si>
  <si>
    <t xml:space="preserve">AI-CTRL-007, AI-CTRL-014, AI-CTRL-032</t>
  </si>
  <si>
    <t xml:space="preserve">A.5.24</t>
  </si>
  <si>
    <t xml:space="preserve">Information security incident management planning and preparation</t>
  </si>
  <si>
    <t xml:space="preserve">A.5.25</t>
  </si>
  <si>
    <t xml:space="preserve">Assessment and decision on information security events</t>
  </si>
  <si>
    <t xml:space="preserve">AI-CTRL-009, AI-CTRL-035</t>
  </si>
  <si>
    <t xml:space="preserve">A.5.26</t>
  </si>
  <si>
    <t xml:space="preserve">Response to information security incidents</t>
  </si>
  <si>
    <t xml:space="preserve">AI-CTRL-025, AI-CTRL-035</t>
  </si>
  <si>
    <t xml:space="preserve">AI-R07, AI-R09, AI-R11, AI-R20, AI-R21, AI-R25, AI-R55</t>
  </si>
  <si>
    <t xml:space="preserve">A.5.27</t>
  </si>
  <si>
    <t xml:space="preserve">Learning from information security incidents</t>
  </si>
  <si>
    <t xml:space="preserve">A.5.28</t>
  </si>
  <si>
    <t xml:space="preserve">Collection of evidence</t>
  </si>
  <si>
    <t xml:space="preserve">AI-CTRL-008, AI-CTRL-035</t>
  </si>
  <si>
    <t xml:space="preserve">AI-R09, AI-R15, AI-R20, AI-R26</t>
  </si>
  <si>
    <t xml:space="preserve">A.5.29</t>
  </si>
  <si>
    <t xml:space="preserve">Information security during disruption</t>
  </si>
  <si>
    <t xml:space="preserve">A.5.30</t>
  </si>
  <si>
    <t xml:space="preserve">ICT readiness for business continuity</t>
  </si>
  <si>
    <t xml:space="preserve">A.5.31</t>
  </si>
  <si>
    <t xml:space="preserve">Legal, statutory, regulatory and contractual requirements</t>
  </si>
  <si>
    <t xml:space="preserve">AI-CTRL-007, AI-CTRL-013, AI-CTRL-042, AI-CTRL-043, AI-CTRL-046</t>
  </si>
  <si>
    <t xml:space="preserve">A.5.32</t>
  </si>
  <si>
    <t xml:space="preserve">Intellectual property rights</t>
  </si>
  <si>
    <t xml:space="preserve">A.5.33</t>
  </si>
  <si>
    <t xml:space="preserve">Protection of records</t>
  </si>
  <si>
    <t xml:space="preserve">AI-CTRL-007, AI-CTRL-008, AI-CTRL-038</t>
  </si>
  <si>
    <t xml:space="preserve">AI-R09, AI-R10, AI-R15, AI-R26, AI-R28</t>
  </si>
  <si>
    <t xml:space="preserve">A.5.34</t>
  </si>
  <si>
    <t xml:space="preserve">Privacy and protection of PII</t>
  </si>
  <si>
    <t xml:space="preserve">A.5.35</t>
  </si>
  <si>
    <t xml:space="preserve">Independent review of information security</t>
  </si>
  <si>
    <t xml:space="preserve">A.5.36</t>
  </si>
  <si>
    <t xml:space="preserve">Compliance with policies, rules and standards for information security</t>
  </si>
  <si>
    <t xml:space="preserve">A.5.37</t>
  </si>
  <si>
    <t xml:space="preserve">Documented operating procedures</t>
  </si>
  <si>
    <t xml:space="preserve">A.6.1</t>
  </si>
  <si>
    <t xml:space="preserve">A.6.2</t>
  </si>
  <si>
    <t xml:space="preserve">Terms and conditions of employment</t>
  </si>
  <si>
    <t xml:space="preserve">A.6.3</t>
  </si>
  <si>
    <t xml:space="preserve">Information security awareness, education and training</t>
  </si>
  <si>
    <t xml:space="preserve">A.6.4</t>
  </si>
  <si>
    <t xml:space="preserve">Disciplinary process</t>
  </si>
  <si>
    <t xml:space="preserve">A.6.5</t>
  </si>
  <si>
    <t xml:space="preserve">A.6.6</t>
  </si>
  <si>
    <t xml:space="preserve">A.6.7</t>
  </si>
  <si>
    <t xml:space="preserve">A.6.8</t>
  </si>
  <si>
    <t xml:space="preserve">Information security event reporting</t>
  </si>
  <si>
    <t xml:space="preserve">A.7.1</t>
  </si>
  <si>
    <t xml:space="preserve">A.7.7</t>
  </si>
  <si>
    <t xml:space="preserve">A.7.8</t>
  </si>
  <si>
    <t xml:space="preserve">A.7.9</t>
  </si>
  <si>
    <t xml:space="preserve">A.7.10</t>
  </si>
  <si>
    <t xml:space="preserve">A.7.11</t>
  </si>
  <si>
    <t xml:space="preserve">A.7.12</t>
  </si>
  <si>
    <t xml:space="preserve">A.7.13</t>
  </si>
  <si>
    <t xml:space="preserve">A.7.14</t>
  </si>
  <si>
    <t xml:space="preserve">A.8.1</t>
  </si>
  <si>
    <t xml:space="preserve">User endpoint devices</t>
  </si>
  <si>
    <t xml:space="preserve">AI-CTRL-001, AI-CTRL-002, AI-CTRL-004</t>
  </si>
  <si>
    <t xml:space="preserve">AI-R01, AI-R02, AI-R03, AI-R04, AI-R22, AI-R27</t>
  </si>
  <si>
    <t xml:space="preserve">Privileged access rights</t>
  </si>
  <si>
    <t xml:space="preserve">Information access restriction</t>
  </si>
  <si>
    <t xml:space="preserve">AI-CTRL-016, AI-CTRL-018, AI-CTRL-022, AI-CTRL-026, AI-CTRL-028</t>
  </si>
  <si>
    <t xml:space="preserve">AI-R05, AI-R06, AI-R07, AI-R08, AI-R21, AI-R22, AI-R24</t>
  </si>
  <si>
    <t xml:space="preserve">Access to source code</t>
  </si>
  <si>
    <t xml:space="preserve">AI-CTRL-004, AI-CTRL-030</t>
  </si>
  <si>
    <t xml:space="preserve">AI-R04, AI-R08, AI-R22</t>
  </si>
  <si>
    <t xml:space="preserve">Secure authentication</t>
  </si>
  <si>
    <t xml:space="preserve">A.8.6</t>
  </si>
  <si>
    <t xml:space="preserve">Capacity management</t>
  </si>
  <si>
    <t xml:space="preserve">A.8.7</t>
  </si>
  <si>
    <t xml:space="preserve">Protection against malware</t>
  </si>
  <si>
    <t xml:space="preserve">A.8.8</t>
  </si>
  <si>
    <t xml:space="preserve">Management of technical vulnerabilities</t>
  </si>
  <si>
    <t xml:space="preserve">AI-CTRL-031, AI-CTRL-032, AI-CTRL-034</t>
  </si>
  <si>
    <t xml:space="preserve">AI-R05, AI-R07, AI-R08, AI-R10, AI-R16, AI-R17, AI-R20, AI-R23</t>
  </si>
  <si>
    <t xml:space="preserve">A.8.9</t>
  </si>
  <si>
    <t xml:space="preserve">Configuration management</t>
  </si>
  <si>
    <t xml:space="preserve">A.8.10</t>
  </si>
  <si>
    <t xml:space="preserve">Information deletion</t>
  </si>
  <si>
    <t xml:space="preserve">AI-CTRL-007, AI-CTRL-013, AI-CTRL-017</t>
  </si>
  <si>
    <t xml:space="preserve">AI-R01, AI-R03, AI-R06, AI-R10, AI-R17, AI-R27, AI-R28</t>
  </si>
  <si>
    <t xml:space="preserve">A.8.11</t>
  </si>
  <si>
    <t xml:space="preserve">Data masking</t>
  </si>
  <si>
    <t xml:space="preserve">AI-CTRL-002, AI-CTRL-013, AI-CTRL-017</t>
  </si>
  <si>
    <t xml:space="preserve">A.8.12</t>
  </si>
  <si>
    <t xml:space="preserve">Data leakage prevention</t>
  </si>
  <si>
    <t xml:space="preserve">AI-CTRL-002, AI-CTRL-003, AI-CTRL-004, AI-CTRL-010, AI-CTRL-017, AI-CTRL-021, AI-CTRL-028</t>
  </si>
  <si>
    <t xml:space="preserve">AI-R01, AI-R02, AI-R03, AI-R04, AI-R05, AI-R06, AI-R08, AI-R17, AI-R22, AI-R27</t>
  </si>
  <si>
    <t xml:space="preserve">A.8.13</t>
  </si>
  <si>
    <t xml:space="preserve">Information backup</t>
  </si>
  <si>
    <t xml:space="preserve">A.8.14</t>
  </si>
  <si>
    <t xml:space="preserve">Redundancy of information processing facilities</t>
  </si>
  <si>
    <t xml:space="preserve">A.8.15</t>
  </si>
  <si>
    <t xml:space="preserve">Logging</t>
  </si>
  <si>
    <t xml:space="preserve">A.8.16</t>
  </si>
  <si>
    <t xml:space="preserve">Monitoring activities</t>
  </si>
  <si>
    <t xml:space="preserve">AI-CTRL-001, AI-CTRL-005, AI-CTRL-006, AI-CTRL-009, AI-CTRL-036</t>
  </si>
  <si>
    <t xml:space="preserve">AI-R02, AI-R05, AI-R06, AI-R07, AI-R09, AI-R11, AI-R24, AI-R25</t>
  </si>
  <si>
    <t xml:space="preserve">A.8.17</t>
  </si>
  <si>
    <t xml:space="preserve">Clock synchronization</t>
  </si>
  <si>
    <t xml:space="preserve">A.8.18</t>
  </si>
  <si>
    <t xml:space="preserve">Use of privileged utility programs</t>
  </si>
  <si>
    <t xml:space="preserve">A.8.19</t>
  </si>
  <si>
    <t xml:space="preserve">Installation of software on operational systems</t>
  </si>
  <si>
    <t xml:space="preserve">A.8.20</t>
  </si>
  <si>
    <t xml:space="preserve">Networks security</t>
  </si>
  <si>
    <t xml:space="preserve">A.8.21</t>
  </si>
  <si>
    <t xml:space="preserve">Security of network services</t>
  </si>
  <si>
    <t xml:space="preserve">A.8.22</t>
  </si>
  <si>
    <t xml:space="preserve">Segregation of networks</t>
  </si>
  <si>
    <t xml:space="preserve">AI-CTRL-027, AI-CTRL-032</t>
  </si>
  <si>
    <t xml:space="preserve">AI-R07, AI-R08, AI-R10, AI-R21, AI-R22, AI-R25, AI-R55</t>
  </si>
  <si>
    <t xml:space="preserve">A.8.23</t>
  </si>
  <si>
    <t xml:space="preserve">Web filtering</t>
  </si>
  <si>
    <t xml:space="preserve">AI-CTRL-001, AI-CTRL-010</t>
  </si>
  <si>
    <t xml:space="preserve">A.8.24</t>
  </si>
  <si>
    <t xml:space="preserve">Use of cryptography</t>
  </si>
  <si>
    <t xml:space="preserve">A.8.25</t>
  </si>
  <si>
    <t xml:space="preserve">Secure development life cycle</t>
  </si>
  <si>
    <t xml:space="preserve">A.8.26</t>
  </si>
  <si>
    <t xml:space="preserve">Application security requirements</t>
  </si>
  <si>
    <t xml:space="preserve">AI-CTRL-005, AI-CTRL-020, AI-CTRL-021</t>
  </si>
  <si>
    <t xml:space="preserve">AI-R03, AI-R05, AI-R06, AI-R24, AI-R26</t>
  </si>
  <si>
    <t xml:space="preserve">A.8.27</t>
  </si>
  <si>
    <t xml:space="preserve">Secure system architecture and engineering principles</t>
  </si>
  <si>
    <t xml:space="preserve">AI-CTRL-005, AI-CTRL-027, AI-CTRL-033</t>
  </si>
  <si>
    <t xml:space="preserve">AI-R05, AI-R06, AI-R07, AI-R08, AI-R14, AI-R16, AI-R21, AI-R22, AI-R24, AI-R25, AI-R55</t>
  </si>
  <si>
    <t xml:space="preserve">A.8.28</t>
  </si>
  <si>
    <t xml:space="preserve">Secure coding</t>
  </si>
  <si>
    <t xml:space="preserve">AI-CTRL-004, AI-CTRL-020</t>
  </si>
  <si>
    <t xml:space="preserve">AI-R04, AI-R05, AI-R06, AI-R22, AI-R24, AI-R26</t>
  </si>
  <si>
    <t xml:space="preserve">A.8.29</t>
  </si>
  <si>
    <t xml:space="preserve">Security testing in development and acceptance</t>
  </si>
  <si>
    <t xml:space="preserve">AI-CTRL-030, AI-CTRL-033, AI-CTRL-034</t>
  </si>
  <si>
    <t xml:space="preserve">A.8.30</t>
  </si>
  <si>
    <t xml:space="preserve">Outsourced development</t>
  </si>
  <si>
    <t xml:space="preserve">A.8.31</t>
  </si>
  <si>
    <t xml:space="preserve">Separation of development, test and production environments</t>
  </si>
  <si>
    <t xml:space="preserve">AI-CTRL-027, AI-CTRL-030</t>
  </si>
  <si>
    <t xml:space="preserve">AI-R07, AI-R08, AI-R21, AI-R22, AI-R25, AI-R55</t>
  </si>
  <si>
    <t xml:space="preserve">A.8.32</t>
  </si>
  <si>
    <t xml:space="preserve">Change management</t>
  </si>
  <si>
    <t xml:space="preserve">AI-CTRL-019, AI-CTRL-024, AI-CTRL-030, AI-CTRL-033</t>
  </si>
  <si>
    <t xml:space="preserve">AI-R05, AI-R07, AI-R08, AI-R14, AI-R16, AI-R17, AI-R23, AI-R24, AI-R55</t>
  </si>
  <si>
    <t xml:space="preserve">A.8.33</t>
  </si>
  <si>
    <t xml:space="preserve">Test information</t>
  </si>
  <si>
    <t xml:space="preserve">AI-CTRL-017, AI-CTRL-029</t>
  </si>
  <si>
    <t xml:space="preserve">A.8.34</t>
  </si>
  <si>
    <t xml:space="preserve">Protection of information systems during audit testing</t>
  </si>
  <si>
    <t xml:space="preserve">Information security risk assessment</t>
  </si>
  <si>
    <t xml:space="preserve">Information security risk treatment</t>
  </si>
  <si>
    <t xml:space="preserve">5.2 to 5.4</t>
  </si>
  <si>
    <t xml:space="preserve">Leadership, integration and design of the framework</t>
  </si>
  <si>
    <t xml:space="preserve">ISO/IEC AI Standards Crosswalk</t>
  </si>
  <si>
    <t xml:space="preserve">6.2 to 6.7</t>
  </si>
  <si>
    <t xml:space="preserve">Risk management process</t>
  </si>
  <si>
    <t xml:space="preserve">Annex B</t>
  </si>
  <si>
    <t xml:space="preserve">Risk sources</t>
  </si>
  <si>
    <t xml:space="preserve">Annex C</t>
  </si>
  <si>
    <t xml:space="preserve">Risk management and the AI system life cycle</t>
  </si>
  <si>
    <t xml:space="preserve">5.4, 5.12</t>
  </si>
  <si>
    <t xml:space="preserve">Timing; monitoring and review</t>
  </si>
  <si>
    <t xml:space="preserve">AI system information, including intended and</t>
  </si>
  <si>
    <t xml:space="preserve">AI system information, including intended and unintended uses</t>
  </si>
  <si>
    <t xml:space="preserve">Actual and reasonably foreseeable impacts, in</t>
  </si>
  <si>
    <t xml:space="preserve">Actual and reasonably foreseeable impacts, including failures and misuse</t>
  </si>
  <si>
    <t xml:space="preserve">Approval process</t>
  </si>
  <si>
    <t xml:space="preserve">Data information and quality</t>
  </si>
  <si>
    <t xml:space="preserve">AI-CTRL-029, AI-CTRL-042</t>
  </si>
  <si>
    <t xml:space="preserve">AI-R08, AI-R10, AI-R12, AI-R28</t>
  </si>
  <si>
    <t xml:space="preserve">Deployment environment (geography, languages,</t>
  </si>
  <si>
    <t xml:space="preserve">Deployment environment (geography, languages, constraints)</t>
  </si>
  <si>
    <t xml:space="preserve">AI-CTRL-007, AI-CTRL-042</t>
  </si>
  <si>
    <t xml:space="preserve">Measures to address harms and benefits</t>
  </si>
  <si>
    <t xml:space="preserve">Relevant interested parties</t>
  </si>
  <si>
    <t xml:space="preserve">AI-CTRL-041, AI-CTRL-042</t>
  </si>
  <si>
    <t xml:space="preserve">AI-R10, AI-R12, AI-R14, AI-R15, AI-R28</t>
  </si>
  <si>
    <t xml:space="preserve">Thresholds for sensitive uses, restricted use</t>
  </si>
  <si>
    <t xml:space="preserve">Thresholds for sensitive uses, restricted uses and impact scales</t>
  </si>
  <si>
    <t xml:space="preserve">9.1.4 and Annex A</t>
  </si>
  <si>
    <t xml:space="preserve">Determining audit time</t>
  </si>
  <si>
    <t xml:space="preserve">AI-CTRL-011, AI-CTRL-014</t>
  </si>
  <si>
    <t xml:space="preserve">AI-R02, AI-R08, AI-R10, AI-R16, AI-R18</t>
  </si>
  <si>
    <t xml:space="preserve">Access to the documentation of the organizati</t>
  </si>
  <si>
    <t xml:space="preserve">Access to the documentation of the organization</t>
  </si>
  <si>
    <t xml:space="preserve">Maintaining certification</t>
  </si>
  <si>
    <t xml:space="preserve">Scope of certification</t>
  </si>
  <si>
    <t xml:space="preserve">Specific technical competence requirements</t>
  </si>
  <si>
    <t xml:space="preserve">4.2, 4.3</t>
  </si>
  <si>
    <t xml:space="preserve">Maintaining governance and accountability when introducing AI</t>
  </si>
  <si>
    <t xml:space="preserve">Compliance</t>
  </si>
  <si>
    <t xml:space="preserve">Culture and values</t>
  </si>
  <si>
    <t xml:space="preserve">Governance of data use</t>
  </si>
  <si>
    <t xml:space="preserve">AI-CTRL-013, AI-CTRL-017, AI-CTRL-029</t>
  </si>
  <si>
    <t xml:space="preserve">AI-R01, AI-R03, AI-R06, AI-R08, AI-R10, AI-R17, AI-R27, AI-R28</t>
  </si>
  <si>
    <t xml:space="preserve">Governance of decision-making</t>
  </si>
  <si>
    <t xml:space="preserve">Governance oversight of AI</t>
  </si>
  <si>
    <t xml:space="preserve">Risk (appetite, management, objectives, sourc</t>
  </si>
  <si>
    <t xml:space="preserve">Risk (appetite, management, objectives, sources, controls)</t>
  </si>
  <si>
    <t xml:space="preserve">8.4 to 8.6</t>
  </si>
  <si>
    <t xml:space="preserve">Bias, unpredictability, opaqueness</t>
  </si>
  <si>
    <t xml:space="preserve">9.2, 9.3</t>
  </si>
  <si>
    <t xml:space="preserve">Transparency; explainability (ex-ante and ex-post, levels, evaluation)</t>
  </si>
  <si>
    <t xml:space="preserve">AI-specific privacy threats</t>
  </si>
  <si>
    <t xml:space="preserve">AI-CTRL-013, AI-CTRL-017</t>
  </si>
  <si>
    <t xml:space="preserve">AI-specific security threats (data poisoning,</t>
  </si>
  <si>
    <t xml:space="preserve">AI-specific security threats (data poisoning, adversarial attacks, model stealing, hardware threats)</t>
  </si>
  <si>
    <t xml:space="preserve">AI-CTRL-028, AI-CTRL-029, AI-CTRL-032, AI-CTRL-034</t>
  </si>
  <si>
    <t xml:space="preserve">AI-R05, AI-R07, AI-R08, AI-R10, AI-R16, AI-R17, AI-R20</t>
  </si>
  <si>
    <t xml:space="preserve">Controllability, including human-in-the-loop </t>
  </si>
  <si>
    <t xml:space="preserve">Controllability, including human-in-the-loop control points</t>
  </si>
  <si>
    <t xml:space="preserve">AI-CTRL-023, AI-CTRL-025, AI-CTRL-045</t>
  </si>
  <si>
    <t xml:space="preserve">AI-R07, AI-R11, AI-R12, AI-R14, AI-R18, AI-R19, AI-R21, AI-R25, AI-R28, AI-R55</t>
  </si>
  <si>
    <t xml:space="preserve">Product labelling</t>
  </si>
  <si>
    <t xml:space="preserve">Testing and evaluation</t>
  </si>
  <si>
    <t xml:space="preserve">6.1.1, 6.1.2</t>
  </si>
  <si>
    <t xml:space="preserve">Acquisition and supply processes</t>
  </si>
  <si>
    <t xml:space="preserve">6.3.4, 6.3.5</t>
  </si>
  <si>
    <t xml:space="preserve">Risk management; configuration management</t>
  </si>
  <si>
    <t xml:space="preserve">AI-CTRL-031, AI-CTRL-037</t>
  </si>
  <si>
    <t xml:space="preserve">AI-R02, AI-R08, AI-R16, AI-R18, AI-R23, AI-R28, AI-R55</t>
  </si>
  <si>
    <t xml:space="preserve">6.4.11, 6.4.13</t>
  </si>
  <si>
    <t xml:space="preserve">Verification and validation processes</t>
  </si>
  <si>
    <t xml:space="preserve">6.4.15, 6.4.16</t>
  </si>
  <si>
    <t xml:space="preserve">Operation and maintenance processes</t>
  </si>
  <si>
    <t xml:space="preserve">AI-CTRL-009, AI-CTRL-040</t>
  </si>
  <si>
    <t xml:space="preserve">AI-R09, AI-R13, AI-R16</t>
  </si>
  <si>
    <t xml:space="preserve">AI data engineering process</t>
  </si>
  <si>
    <t xml:space="preserve">Continuous validation process</t>
  </si>
  <si>
    <t xml:space="preserve">Disposal process</t>
  </si>
  <si>
    <t xml:space="preserve">AI-CTRL-011, AI-CTRL-030</t>
  </si>
  <si>
    <t xml:space="preserve">AI-R02, AI-R08, AI-R18</t>
  </si>
  <si>
    <t xml:space="preserve">Knowledge acquisition process</t>
  </si>
  <si>
    <t xml:space="preserve">6.3 to 6.5</t>
  </si>
  <si>
    <t xml:space="preserve">Model, data and tools</t>
  </si>
  <si>
    <t xml:space="preserve">8.2, 8.3</t>
  </si>
  <si>
    <t xml:space="preserve">Data acquisition and preparation</t>
  </si>
  <si>
    <t xml:space="preserve">8.4, 8.5</t>
  </si>
  <si>
    <t xml:space="preserve">Modelling; verification and validation</t>
  </si>
  <si>
    <t xml:space="preserve">AI-CTRL-030, AI-CTRL-034</t>
  </si>
  <si>
    <t xml:space="preserve">8.6, 8.7</t>
  </si>
  <si>
    <t xml:space="preserve">Model deployment and operation</t>
  </si>
  <si>
    <t xml:space="preserve">AI-CTRL-005, AI-CTRL-030</t>
  </si>
  <si>
    <t xml:space="preserve">AI-R05, AI-R06, AI-R08, AI-R24</t>
  </si>
  <si>
    <t xml:space="preserve">AI stakeholder roles (provider, producer, cus</t>
  </si>
  <si>
    <t xml:space="preserve">AI stakeholder roles (provider, producer, customer, partner, subject, relevant authorities)</t>
  </si>
  <si>
    <t xml:space="preserve">AI system life cycle stages (inception to ret</t>
  </si>
  <si>
    <t xml:space="preserve">AI system life cycle stages (inception to retirement)</t>
  </si>
  <si>
    <t xml:space="preserve">Terms and definitions</t>
  </si>
  <si>
    <t xml:space="preserve">Trustworthiness (robustness, reliability, res</t>
  </si>
  <si>
    <t xml:space="preserve">Trustworthiness (robustness, reliability, resilience, controllability, explainability, predictability, transparency, bias and fairness)</t>
  </si>
  <si>
    <t xml:space="preserve">AI-CTRL-034, AI-CTRL-039, AI-CTRL-040, AI-CTRL-041, AI-CTRL-045</t>
  </si>
  <si>
    <t xml:space="preserve">AI-R05, AI-R07, AI-R12, AI-R13, AI-R14, AI-R15, AI-R16, AI-R17, AI-R18, AI-R19, AI-R20, AI-R28</t>
  </si>
  <si>
    <t xml:space="preserve">5259-1, 5.3</t>
  </si>
  <si>
    <t xml:space="preserve">Data life cycle for analytics and ML</t>
  </si>
  <si>
    <t xml:space="preserve">5259-2, 6</t>
  </si>
  <si>
    <t xml:space="preserve">Data quality characteristics (24, from accuracy and completeness to balance, representativeness and timeliness)</t>
  </si>
  <si>
    <t xml:space="preserve">5259-2, 8</t>
  </si>
  <si>
    <t xml:space="preserve">Data quality reporting</t>
  </si>
  <si>
    <t xml:space="preserve">5259-3, 9</t>
  </si>
  <si>
    <t xml:space="preserve">Management of data quality in supply chains</t>
  </si>
  <si>
    <t xml:space="preserve">AI-CTRL-014, AI-CTRL-031</t>
  </si>
  <si>
    <t xml:space="preserve">5259-3, 12.8</t>
  </si>
  <si>
    <t xml:space="preserve">Data quality justification</t>
  </si>
  <si>
    <t xml:space="preserve">5259-4, 8</t>
  </si>
  <si>
    <t xml:space="preserve">Data labelling methods and process</t>
  </si>
  <si>
    <t xml:space="preserve">5259-5, 7 and 8</t>
  </si>
  <si>
    <t xml:space="preserve">Responsibilities of the governing body and of management</t>
  </si>
  <si>
    <t xml:space="preserve">DE.AE</t>
  </si>
  <si>
    <t xml:space="preserve">Adverse Event Analysis</t>
  </si>
  <si>
    <t xml:space="preserve">NIST CSF Crosswalk</t>
  </si>
  <si>
    <t xml:space="preserve">DE.CM</t>
  </si>
  <si>
    <t xml:space="preserve">Continuous Monitoring</t>
  </si>
  <si>
    <t xml:space="preserve">AI-CTRL-001, AI-CTRL-002, AI-CTRL-005, AI-CTRL-006, AI-CTRL-008, AI-CTRL-009, AI-CTRL-021, AI-CTRL-036</t>
  </si>
  <si>
    <t xml:space="preserve">AI-R01, AI-R02, AI-R03, AI-R05, AI-R06, AI-R07, AI-R09, AI-R11, AI-R15, AI-R24, AI-R25, AI-R26, AI-R27</t>
  </si>
  <si>
    <t xml:space="preserve">GV.OC</t>
  </si>
  <si>
    <t xml:space="preserve">Organizational Context</t>
  </si>
  <si>
    <t xml:space="preserve">GV.OV</t>
  </si>
  <si>
    <t xml:space="preserve">Oversight</t>
  </si>
  <si>
    <t xml:space="preserve">GV.PO</t>
  </si>
  <si>
    <t xml:space="preserve">Policy</t>
  </si>
  <si>
    <t xml:space="preserve">GV.RM</t>
  </si>
  <si>
    <t xml:space="preserve">Risk Management Strategy</t>
  </si>
  <si>
    <t xml:space="preserve">GV.RR</t>
  </si>
  <si>
    <t xml:space="preserve">Roles, Responsibilities, and Authorities</t>
  </si>
  <si>
    <t xml:space="preserve">AI-CTRL-012, AI-CTRL-045</t>
  </si>
  <si>
    <t xml:space="preserve">AI-R02, AI-R03, AI-R07, AI-R12, AI-R14, AI-R18, AI-R19, AI-R27, AI-R28</t>
  </si>
  <si>
    <t xml:space="preserve">GV.SC</t>
  </si>
  <si>
    <t xml:space="preserve">Cybersecurity Supply Chain Risk Management</t>
  </si>
  <si>
    <t xml:space="preserve">AI-CTRL-007, AI-CTRL-014, AI-CTRL-024, AI-CTRL-029, AI-CTRL-031</t>
  </si>
  <si>
    <t xml:space="preserve">ID.AM</t>
  </si>
  <si>
    <t xml:space="preserve">Asset Management</t>
  </si>
  <si>
    <t xml:space="preserve">AI-CTRL-001, AI-CTRL-011, AI-CTRL-017, AI-CTRL-029, AI-CTRL-031</t>
  </si>
  <si>
    <t xml:space="preserve">AI-R01, AI-R02, AI-R03, AI-R06, AI-R08, AI-R16, AI-R17, AI-R18, AI-R23</t>
  </si>
  <si>
    <t xml:space="preserve">ID.IM</t>
  </si>
  <si>
    <t xml:space="preserve">Improvement</t>
  </si>
  <si>
    <t xml:space="preserve">ID.RA</t>
  </si>
  <si>
    <t xml:space="preserve">Risk Assessment</t>
  </si>
  <si>
    <t xml:space="preserve">AI-CTRL-011, AI-CTRL-031, AI-CTRL-033, AI-CTRL-034, AI-CTRL-037, AI-CTRL-042</t>
  </si>
  <si>
    <t xml:space="preserve">AI-R02, AI-R05, AI-R07, AI-R08, AI-R10, AI-R12, AI-R14, AI-R16, AI-R17, AI-R18, AI-R20, AI-R23, AI-R28, AI-R55</t>
  </si>
  <si>
    <t xml:space="preserve">PR.AA</t>
  </si>
  <si>
    <t xml:space="preserve">Identity Management, Authentication, and Access Control</t>
  </si>
  <si>
    <t xml:space="preserve">AI-CTRL-006, AI-CTRL-015, AI-CTRL-016, AI-CTRL-018, AI-CTRL-022, AI-CTRL-023, AI-CTRL-028, AI-CTRL-030</t>
  </si>
  <si>
    <t xml:space="preserve">AI-R06, AI-R07, AI-R08, AI-R19, AI-R22, AI-R24, AI-R25</t>
  </si>
  <si>
    <t xml:space="preserve">PR.AT</t>
  </si>
  <si>
    <t xml:space="preserve">Awareness and Training</t>
  </si>
  <si>
    <t xml:space="preserve">PR.DS</t>
  </si>
  <si>
    <t xml:space="preserve">Data Security</t>
  </si>
  <si>
    <t xml:space="preserve">AI-CTRL-002, AI-CTRL-003, AI-CTRL-004, AI-CTRL-005, AI-CTRL-007, AI-CTRL-010, AI-CTRL-013, AI-CTRL-017, AI-CTRL-018, AI-CTRL-019, AI-CTRL-021, AI-CTRL-026, AI-CTRL-028, AI-CTRL-029, AI-CTRL-032</t>
  </si>
  <si>
    <t xml:space="preserve">AI-R01, AI-R02, AI-R03, AI-R04, AI-R05, AI-R06, AI-R07, AI-R08, AI-R10, AI-R17, AI-R21, AI-R22, AI-R24, AI-R27, AI-R28</t>
  </si>
  <si>
    <t xml:space="preserve">PR.IR</t>
  </si>
  <si>
    <t xml:space="preserve">Technology Infrastructure Resilience</t>
  </si>
  <si>
    <t xml:space="preserve">AI-CTRL-027, AI-CTRL-032, AI-CTRL-036, AI-CTRL-040</t>
  </si>
  <si>
    <t xml:space="preserve">PR.PS</t>
  </si>
  <si>
    <t xml:space="preserve">Platform Security</t>
  </si>
  <si>
    <t xml:space="preserve">AI-CTRL-004, AI-CTRL-005, AI-CTRL-008, AI-CTRL-020, AI-CTRL-024, AI-CTRL-027, AI-CTRL-030, AI-CTRL-032, AI-CTRL-033</t>
  </si>
  <si>
    <t xml:space="preserve">AI-R04, AI-R05, AI-R06, AI-R07, AI-R08, AI-R09, AI-R10, AI-R14, AI-R15, AI-R16, AI-R21, AI-R22, AI-R23, AI-R24, AI-R25, AI-R26, AI-R55</t>
  </si>
  <si>
    <t xml:space="preserve">RC.CO</t>
  </si>
  <si>
    <t xml:space="preserve">RC.RP</t>
  </si>
  <si>
    <t xml:space="preserve">Incident Recovery Plan Execution</t>
  </si>
  <si>
    <t xml:space="preserve">AI-CTRL-035, AI-CTRL-040</t>
  </si>
  <si>
    <t xml:space="preserve">AI-R09, AI-R13, AI-R16, AI-R20</t>
  </si>
  <si>
    <t xml:space="preserve">RS.AN</t>
  </si>
  <si>
    <t xml:space="preserve">Incident Analysis</t>
  </si>
  <si>
    <t xml:space="preserve">RS.CO</t>
  </si>
  <si>
    <t xml:space="preserve">Incident Response Reporting and Communication</t>
  </si>
  <si>
    <t xml:space="preserve">RS.MA</t>
  </si>
  <si>
    <t xml:space="preserve">Incident Management</t>
  </si>
  <si>
    <t xml:space="preserve">RS.MI</t>
  </si>
  <si>
    <t xml:space="preserve">Incident Mitigation</t>
  </si>
  <si>
    <t xml:space="preserve">CIS 1</t>
  </si>
  <si>
    <t xml:space="preserve">Inventory and Control of Enterprise Assets</t>
  </si>
  <si>
    <t xml:space="preserve">AI-CTRL-001, AI-CTRL-011</t>
  </si>
  <si>
    <t xml:space="preserve">CIS Controls Crosswalk</t>
  </si>
  <si>
    <t xml:space="preserve">CIS 2</t>
  </si>
  <si>
    <t xml:space="preserve">Inventory and Control of Software Assets</t>
  </si>
  <si>
    <t xml:space="preserve">AI-CTRL-001, AI-CTRL-011, AI-CTRL-024, AI-CTRL-031</t>
  </si>
  <si>
    <t xml:space="preserve">AI-R02, AI-R07, AI-R08, AI-R16, AI-R18, AI-R23, AI-R24</t>
  </si>
  <si>
    <t xml:space="preserve">CIS 3</t>
  </si>
  <si>
    <t xml:space="preserve">Data Protection</t>
  </si>
  <si>
    <t xml:space="preserve">AI-CTRL-002, AI-CTRL-003, AI-CTRL-004, AI-CTRL-007, AI-CTRL-010, AI-CTRL-013, AI-CTRL-017, AI-CTRL-018, AI-CTRL-021, AI-CTRL-026, AI-CTRL-028, AI-CTRL-029</t>
  </si>
  <si>
    <t xml:space="preserve">AI-R01, AI-R02, AI-R03, AI-R04, AI-R05, AI-R06, AI-R07, AI-R08, AI-R10, AI-R17, AI-R21, AI-R22, AI-R27, AI-R28</t>
  </si>
  <si>
    <t xml:space="preserve">CIS 4</t>
  </si>
  <si>
    <t xml:space="preserve">Secure Configuration of Enterprise Assets and Software</t>
  </si>
  <si>
    <t xml:space="preserve">AI-CTRL-027, AI-CTRL-030, AI-CTRL-032</t>
  </si>
  <si>
    <t xml:space="preserve">CIS 5</t>
  </si>
  <si>
    <t xml:space="preserve">Account Management</t>
  </si>
  <si>
    <t xml:space="preserve">CIS 6</t>
  </si>
  <si>
    <t xml:space="preserve">Access Control Management</t>
  </si>
  <si>
    <t xml:space="preserve">AI-CTRL-006, AI-CTRL-015, AI-CTRL-016, AI-CTRL-018, AI-CTRL-022, AI-CTRL-025, AI-CTRL-028</t>
  </si>
  <si>
    <t xml:space="preserve">AI-R06, AI-R07, AI-R08, AI-R11, AI-R21, AI-R22, AI-R24, AI-R25, AI-R55</t>
  </si>
  <si>
    <t xml:space="preserve">CIS 7</t>
  </si>
  <si>
    <t xml:space="preserve">Continuous Vulnerability Management</t>
  </si>
  <si>
    <t xml:space="preserve">CIS 8</t>
  </si>
  <si>
    <t xml:space="preserve">Audit Log Management</t>
  </si>
  <si>
    <t xml:space="preserve">CIS 9</t>
  </si>
  <si>
    <t xml:space="preserve">Email and Web Browser Protections</t>
  </si>
  <si>
    <t xml:space="preserve">AI-CTRL-001, AI-CTRL-003, AI-CTRL-010</t>
  </si>
  <si>
    <t xml:space="preserve">AI-R01, AI-R02, AI-R03, AI-R27</t>
  </si>
  <si>
    <t xml:space="preserve">CIS 10</t>
  </si>
  <si>
    <t xml:space="preserve">Malware Defenses</t>
  </si>
  <si>
    <t xml:space="preserve">CIS 11</t>
  </si>
  <si>
    <t xml:space="preserve">Data Recovery</t>
  </si>
  <si>
    <t xml:space="preserve">CIS 12</t>
  </si>
  <si>
    <t xml:space="preserve">Network Infrastructure Management</t>
  </si>
  <si>
    <t xml:space="preserve">CIS 13</t>
  </si>
  <si>
    <t xml:space="preserve">Network Monitoring and Defense</t>
  </si>
  <si>
    <t xml:space="preserve">AI-CTRL-005, AI-CTRL-009, AI-CTRL-032</t>
  </si>
  <si>
    <t xml:space="preserve">AI-R05, AI-R06, AI-R08, AI-R09, AI-R10, AI-R24</t>
  </si>
  <si>
    <t xml:space="preserve">CIS 14</t>
  </si>
  <si>
    <t xml:space="preserve">Security Awareness and Skills Training</t>
  </si>
  <si>
    <t xml:space="preserve">CIS 15</t>
  </si>
  <si>
    <t xml:space="preserve">Service Provider Management</t>
  </si>
  <si>
    <t xml:space="preserve">AI-CTRL-007, AI-CTRL-014, AI-CTRL-024, AI-CTRL-031</t>
  </si>
  <si>
    <t xml:space="preserve">CIS 16</t>
  </si>
  <si>
    <t xml:space="preserve">Application Software Security</t>
  </si>
  <si>
    <t xml:space="preserve">AI-CTRL-004, AI-CTRL-005, AI-CTRL-020, AI-CTRL-024, AI-CTRL-027, AI-CTRL-030, AI-CTRL-031, AI-CTRL-033</t>
  </si>
  <si>
    <t xml:space="preserve">AI-R04, AI-R05, AI-R06, AI-R07, AI-R08, AI-R14, AI-R16, AI-R21, AI-R22, AI-R23, AI-R24, AI-R25, AI-R26, AI-R55</t>
  </si>
  <si>
    <t xml:space="preserve">CIS 17</t>
  </si>
  <si>
    <t xml:space="preserve">Incident Response Management</t>
  </si>
  <si>
    <t xml:space="preserve">AI-CTRL-025, AI-CTRL-035, AI-CTRL-043</t>
  </si>
  <si>
    <t xml:space="preserve">AI-R07, AI-R09, AI-R10, AI-R11, AI-R20, AI-R21, AI-R25, AI-R55</t>
  </si>
  <si>
    <t xml:space="preserve">CIS 18</t>
  </si>
  <si>
    <t xml:space="preserve">Penetration Testing</t>
  </si>
  <si>
    <t xml:space="preserve">A1.1</t>
  </si>
  <si>
    <t xml:space="preserve">Capacity</t>
  </si>
  <si>
    <t xml:space="preserve">SOC 2 Crosswalk</t>
  </si>
  <si>
    <t xml:space="preserve">A1.2</t>
  </si>
  <si>
    <t xml:space="preserve">Backup and recovery infrastructure</t>
  </si>
  <si>
    <t xml:space="preserve">A1.3</t>
  </si>
  <si>
    <t xml:space="preserve">Recovery plan testing</t>
  </si>
  <si>
    <t xml:space="preserve">C1.1</t>
  </si>
  <si>
    <t xml:space="preserve">Identification of confidential information</t>
  </si>
  <si>
    <t xml:space="preserve">AI-CTRL-002, AI-CTRL-003, AI-CTRL-007, AI-CTRL-017, AI-CTRL-028</t>
  </si>
  <si>
    <t xml:space="preserve">AI-R01, AI-R03, AI-R06, AI-R08, AI-R10, AI-R17, AI-R27</t>
  </si>
  <si>
    <t xml:space="preserve">C1.2</t>
  </si>
  <si>
    <t xml:space="preserve">Disposal of confidential information</t>
  </si>
  <si>
    <t xml:space="preserve">AI-CTRL-007, AI-CTRL-017</t>
  </si>
  <si>
    <t xml:space="preserve">AI-R01, AI-R03, AI-R06, AI-R10, AI-R17</t>
  </si>
  <si>
    <t xml:space="preserve">CC1.1</t>
  </si>
  <si>
    <t xml:space="preserve">CC1.2</t>
  </si>
  <si>
    <t xml:space="preserve">CC1.3</t>
  </si>
  <si>
    <t xml:space="preserve">Structures, reporting lines and responsibilities</t>
  </si>
  <si>
    <t xml:space="preserve">CC1.4</t>
  </si>
  <si>
    <t xml:space="preserve">CC1.5</t>
  </si>
  <si>
    <t xml:space="preserve">CC2.1</t>
  </si>
  <si>
    <t xml:space="preserve">CC2.2</t>
  </si>
  <si>
    <t xml:space="preserve">Internal communication</t>
  </si>
  <si>
    <t xml:space="preserve">CC2.3</t>
  </si>
  <si>
    <t xml:space="preserve">External communication</t>
  </si>
  <si>
    <t xml:space="preserve">CC3.1</t>
  </si>
  <si>
    <t xml:space="preserve">Objectives for risk assessment</t>
  </si>
  <si>
    <t xml:space="preserve">CC3.2</t>
  </si>
  <si>
    <t xml:space="preserve">Risk identification and analysis</t>
  </si>
  <si>
    <t xml:space="preserve">AI-CTRL-011, AI-CTRL-037, AI-CTRL-042</t>
  </si>
  <si>
    <t xml:space="preserve">AI-R02, AI-R10, AI-R12, AI-R18, AI-R28, AI-R55</t>
  </si>
  <si>
    <t xml:space="preserve">CC3.3</t>
  </si>
  <si>
    <t xml:space="preserve">CC3.4</t>
  </si>
  <si>
    <t xml:space="preserve">Assessment of change</t>
  </si>
  <si>
    <t xml:space="preserve">CC4.1</t>
  </si>
  <si>
    <t xml:space="preserve">Ongoing and separate evaluations</t>
  </si>
  <si>
    <t xml:space="preserve">CC4.2</t>
  </si>
  <si>
    <t xml:space="preserve">Communication of deficiencies</t>
  </si>
  <si>
    <t xml:space="preserve">CC5.1</t>
  </si>
  <si>
    <t xml:space="preserve">CC5.2</t>
  </si>
  <si>
    <t xml:space="preserve">CC5.3</t>
  </si>
  <si>
    <t xml:space="preserve">Policies and procedures</t>
  </si>
  <si>
    <t xml:space="preserve">CC6.1</t>
  </si>
  <si>
    <t xml:space="preserve">Logical access security</t>
  </si>
  <si>
    <t xml:space="preserve">AI-CTRL-006, AI-CTRL-015, AI-CTRL-016, AI-CTRL-017, AI-CTRL-018, AI-CTRL-022, AI-CTRL-026, AI-CTRL-028, AI-CTRL-030, AI-CTRL-032</t>
  </si>
  <si>
    <t xml:space="preserve">AI-R01, AI-R03, AI-R05, AI-R06, AI-R07, AI-R08, AI-R10, AI-R17, AI-R21, AI-R22, AI-R24, AI-R25</t>
  </si>
  <si>
    <t xml:space="preserve">CC6.2</t>
  </si>
  <si>
    <t xml:space="preserve">Registration and removal of access</t>
  </si>
  <si>
    <t xml:space="preserve">AI-CTRL-015, AI-CTRL-025</t>
  </si>
  <si>
    <t xml:space="preserve">AI-R07, AI-R11, AI-R21, AI-R22, AI-R25, AI-R55</t>
  </si>
  <si>
    <t xml:space="preserve">CC6.3</t>
  </si>
  <si>
    <t xml:space="preserve">Role-based access and least privilege</t>
  </si>
  <si>
    <t xml:space="preserve">AI-CTRL-016, AI-CTRL-018, AI-CTRL-022</t>
  </si>
  <si>
    <t xml:space="preserve">CC6.4</t>
  </si>
  <si>
    <t xml:space="preserve">CC6.5</t>
  </si>
  <si>
    <t xml:space="preserve">CC6.6</t>
  </si>
  <si>
    <t xml:space="preserve">Protection against threats from outside the boundary</t>
  </si>
  <si>
    <t xml:space="preserve">AI-CTRL-005, AI-CTRL-027, AI-CTRL-032</t>
  </si>
  <si>
    <t xml:space="preserve">AI-R05, AI-R06, AI-R07, AI-R08, AI-R10, AI-R21, AI-R22, AI-R24, AI-R25, AI-R55</t>
  </si>
  <si>
    <t xml:space="preserve">CC6.7</t>
  </si>
  <si>
    <t xml:space="preserve">Transmission, movement and removal of information</t>
  </si>
  <si>
    <t xml:space="preserve">CC6.8</t>
  </si>
  <si>
    <t xml:space="preserve">Unauthorized or malicious software</t>
  </si>
  <si>
    <t xml:space="preserve">AI-CTRL-001, AI-CTRL-021, AI-CTRL-024, AI-CTRL-027</t>
  </si>
  <si>
    <t xml:space="preserve">AI-R02, AI-R03, AI-R05, AI-R07, AI-R08, AI-R21, AI-R22, AI-R23, AI-R24, AI-R25, AI-R55</t>
  </si>
  <si>
    <t xml:space="preserve">CC7.1</t>
  </si>
  <si>
    <t xml:space="preserve">Detection of configuration changes and vulnerabilities</t>
  </si>
  <si>
    <t xml:space="preserve">CC7.2</t>
  </si>
  <si>
    <t xml:space="preserve">Monitoring for anomalies</t>
  </si>
  <si>
    <t xml:space="preserve">AI-CTRL-001, AI-CTRL-005, AI-CTRL-006, AI-CTRL-008, AI-CTRL-009</t>
  </si>
  <si>
    <t xml:space="preserve">AI-R02, AI-R05, AI-R06, AI-R07, AI-R09, AI-R15, AI-R24, AI-R25, AI-R26</t>
  </si>
  <si>
    <t xml:space="preserve">CC7.3</t>
  </si>
  <si>
    <t xml:space="preserve">Evaluation of security events</t>
  </si>
  <si>
    <t xml:space="preserve">CC7.4</t>
  </si>
  <si>
    <t xml:space="preserve">Incident response</t>
  </si>
  <si>
    <t xml:space="preserve">CC7.5</t>
  </si>
  <si>
    <t xml:space="preserve">Recovery from incidents</t>
  </si>
  <si>
    <t xml:space="preserve">CC8.1</t>
  </si>
  <si>
    <t xml:space="preserve">AI-CTRL-004, AI-CTRL-019, AI-CTRL-024, AI-CTRL-030, AI-CTRL-033</t>
  </si>
  <si>
    <t xml:space="preserve">AI-R04, AI-R05, AI-R07, AI-R08, AI-R14, AI-R16, AI-R17, AI-R22, AI-R23, AI-R24, AI-R55</t>
  </si>
  <si>
    <t xml:space="preserve">CC9.1</t>
  </si>
  <si>
    <t xml:space="preserve">Risk mitigation for business disruption</t>
  </si>
  <si>
    <t xml:space="preserve">AI-CTRL-037, AI-CTRL-040</t>
  </si>
  <si>
    <t xml:space="preserve">AI-R02, AI-R13, AI-R16, AI-R18, AI-R28, AI-R55</t>
  </si>
  <si>
    <t xml:space="preserve">CC9.2</t>
  </si>
  <si>
    <t xml:space="preserve">Vendor and business partner risk</t>
  </si>
  <si>
    <t xml:space="preserve">P1.1</t>
  </si>
  <si>
    <t xml:space="preserve">Notice</t>
  </si>
  <si>
    <t xml:space="preserve">P2.1</t>
  </si>
  <si>
    <t xml:space="preserve">P3.1</t>
  </si>
  <si>
    <t xml:space="preserve">Collection</t>
  </si>
  <si>
    <t xml:space="preserve">P3.2</t>
  </si>
  <si>
    <t xml:space="preserve">P4.1</t>
  </si>
  <si>
    <t xml:space="preserve">Use</t>
  </si>
  <si>
    <t xml:space="preserve">P4.2</t>
  </si>
  <si>
    <t xml:space="preserve">Retention</t>
  </si>
  <si>
    <t xml:space="preserve">AI-CTRL-007, AI-CTRL-013</t>
  </si>
  <si>
    <t xml:space="preserve">P4.3</t>
  </si>
  <si>
    <t xml:space="preserve">P5.1</t>
  </si>
  <si>
    <t xml:space="preserve">Access by data subjects</t>
  </si>
  <si>
    <t xml:space="preserve">P5.2</t>
  </si>
  <si>
    <t xml:space="preserve">P6.1</t>
  </si>
  <si>
    <t xml:space="preserve">P6.2</t>
  </si>
  <si>
    <t xml:space="preserve">P6.3</t>
  </si>
  <si>
    <t xml:space="preserve">P6.4</t>
  </si>
  <si>
    <t xml:space="preserve">P6.5</t>
  </si>
  <si>
    <t xml:space="preserve">P6.6</t>
  </si>
  <si>
    <t xml:space="preserve">P6.7</t>
  </si>
  <si>
    <t xml:space="preserve">P7.1</t>
  </si>
  <si>
    <t xml:space="preserve">P8.1</t>
  </si>
  <si>
    <t xml:space="preserve">PI1.1</t>
  </si>
  <si>
    <t xml:space="preserve">PI1.2</t>
  </si>
  <si>
    <t xml:space="preserve">Inputs</t>
  </si>
  <si>
    <t xml:space="preserve">PI1.3</t>
  </si>
  <si>
    <t xml:space="preserve">Processing</t>
  </si>
  <si>
    <t xml:space="preserve">PI1.4</t>
  </si>
  <si>
    <t xml:space="preserve">Outputs</t>
  </si>
  <si>
    <t xml:space="preserve">AI-CTRL-020, AI-CTRL-039</t>
  </si>
  <si>
    <t xml:space="preserve">AI-R05, AI-R06, AI-R12, AI-R14, AI-R20, AI-R24, AI-R26</t>
  </si>
  <si>
    <t xml:space="preserve">PI1.5</t>
  </si>
  <si>
    <t xml:space="preserve">Stored items</t>
  </si>
  <si>
    <t xml:space="preserve">PO.1</t>
  </si>
  <si>
    <t xml:space="preserve">Define Security Requirements for Software Development</t>
  </si>
  <si>
    <t xml:space="preserve">AI-CTRL-012, AI-CTRL-033</t>
  </si>
  <si>
    <t xml:space="preserve">AI-R02, AI-R03, AI-R05, AI-R07, AI-R08, AI-R14, AI-R16, AI-R18, AI-R19, AI-R27, AI-R28, AI-R55</t>
  </si>
  <si>
    <t xml:space="preserve">NIST SSDF and SP 800-218A Crosswalk</t>
  </si>
  <si>
    <t xml:space="preserve">PO.2</t>
  </si>
  <si>
    <t xml:space="preserve">Implement Roles and Responsibilities</t>
  </si>
  <si>
    <t xml:space="preserve">PO.3</t>
  </si>
  <si>
    <t xml:space="preserve">Implement Supporting Toolchains</t>
  </si>
  <si>
    <t xml:space="preserve">PO.4</t>
  </si>
  <si>
    <t xml:space="preserve">Define and Use Criteria for Software Security Checks</t>
  </si>
  <si>
    <t xml:space="preserve">PO.5</t>
  </si>
  <si>
    <t xml:space="preserve">Implement and Maintain Secure Environments for Software Development</t>
  </si>
  <si>
    <t xml:space="preserve">AI-CTRL-009, AI-CTRL-016, AI-CTRL-027, AI-CTRL-030</t>
  </si>
  <si>
    <t xml:space="preserve">AI-R06, AI-R07, AI-R08, AI-R09, AI-R21, AI-R22, AI-R25, AI-R55</t>
  </si>
  <si>
    <t xml:space="preserve">PS.1</t>
  </si>
  <si>
    <t xml:space="preserve">Protect All Forms of Code and Data from Unauthorized Access and Tampering</t>
  </si>
  <si>
    <t xml:space="preserve">PS.2</t>
  </si>
  <si>
    <t xml:space="preserve">Provide a Mechanism for Verifying Software Release Integrity</t>
  </si>
  <si>
    <t xml:space="preserve">PS.3</t>
  </si>
  <si>
    <t xml:space="preserve">Archive and Protect Each Software Release</t>
  </si>
  <si>
    <t xml:space="preserve">AI-CTRL-008, AI-CTRL-031</t>
  </si>
  <si>
    <t xml:space="preserve">AI-R08, AI-R09, AI-R15, AI-R16, AI-R23, AI-R26</t>
  </si>
  <si>
    <t xml:space="preserve">PW.1</t>
  </si>
  <si>
    <t xml:space="preserve">Design Software to Meet Security Requirements and Mitigate Security Risks</t>
  </si>
  <si>
    <t xml:space="preserve">AI-CTRL-033, AI-CTRL-037</t>
  </si>
  <si>
    <t xml:space="preserve">AI-R02, AI-R05, AI-R07, AI-R08, AI-R14, AI-R16, AI-R18, AI-R28, AI-R55</t>
  </si>
  <si>
    <t xml:space="preserve">PW.2</t>
  </si>
  <si>
    <t xml:space="preserve">Review the Software Design to Verify Compliance with Security Requirements and Risk Information</t>
  </si>
  <si>
    <t xml:space="preserve">PW.3</t>
  </si>
  <si>
    <t xml:space="preserve">Confirm the Integrity of Training, Testing, Fine-Tuning, and Aligning Data Before Use (SP 800-218A only)</t>
  </si>
  <si>
    <t xml:space="preserve">PW.4</t>
  </si>
  <si>
    <t xml:space="preserve">Reuse Existing, Well-Secured Software When Feasible Instead of Duplicating Functionality</t>
  </si>
  <si>
    <t xml:space="preserve">PW.5</t>
  </si>
  <si>
    <t xml:space="preserve">Create Source Code by Adhering to Secure Coding Practices</t>
  </si>
  <si>
    <t xml:space="preserve">PW.6</t>
  </si>
  <si>
    <t xml:space="preserve">Configure the Compilation, Interpreter, and Build Processes to Improve Executable Security</t>
  </si>
  <si>
    <t xml:space="preserve">PW.7</t>
  </si>
  <si>
    <t xml:space="preserve">Review and/or Analyze Human-Readable Code to Identify Vulnerabilities and Verify Compliance with Security Requirements</t>
  </si>
  <si>
    <t xml:space="preserve">AI-CTRL-031, AI-CTRL-033</t>
  </si>
  <si>
    <t xml:space="preserve">AI-R05, AI-R07, AI-R08, AI-R14, AI-R16, AI-R23, AI-R55</t>
  </si>
  <si>
    <t xml:space="preserve">PW.8</t>
  </si>
  <si>
    <t xml:space="preserve">Test Executable Code to Identify Vulnerabilities and Verify Compliance with Security Requirements</t>
  </si>
  <si>
    <t xml:space="preserve">PW.9</t>
  </si>
  <si>
    <t xml:space="preserve">Configure Software to Have Secure Settings by Default</t>
  </si>
  <si>
    <t xml:space="preserve">AI-CTRL-005, AI-CTRL-032</t>
  </si>
  <si>
    <t xml:space="preserve">AI-R05, AI-R06, AI-R08, AI-R10, AI-R24</t>
  </si>
  <si>
    <t xml:space="preserve">RV.1</t>
  </si>
  <si>
    <t xml:space="preserve">Identify and Confirm Vulnerabilities on an Ongoing Basis</t>
  </si>
  <si>
    <t xml:space="preserve">AI-CTRL-009, AI-CTRL-034</t>
  </si>
  <si>
    <t xml:space="preserve">RV.2</t>
  </si>
  <si>
    <t xml:space="preserve">Assess, Prioritize, and Remediate Vulnerabilities</t>
  </si>
  <si>
    <t xml:space="preserve">AI-CTRL-035, AI-CTRL-037</t>
  </si>
  <si>
    <t xml:space="preserve">AI-R02, AI-R09, AI-R18, AI-R20, AI-R28, AI-R55</t>
  </si>
  <si>
    <t xml:space="preserve">RV.3</t>
  </si>
  <si>
    <t xml:space="preserve">Analyze Vulnerabilities to Identify Their Root Causes</t>
  </si>
  <si>
    <t xml:space="preserve">1.2.4 (data-flow diagrams)</t>
  </si>
  <si>
    <t xml:space="preserve">Add AI deployments to the data-flow diagrams, including the data stores AI operation creates, and give no AI system access to data the entity has not classified and mapped.</t>
  </si>
  <si>
    <t xml:space="preserve">AI-CTRL-011, AI-CTRL-017</t>
  </si>
  <si>
    <t xml:space="preserve">AI-R01, AI-R02, AI-R03, AI-R06, AI-R17, AI-R18</t>
  </si>
  <si>
    <t xml:space="preserve">PCI DSS AI Crosswalk</t>
  </si>
  <si>
    <t xml:space="preserve">6.2.3 and 6.2.3.1 (code review)</t>
  </si>
  <si>
    <t xml:space="preserve">AI may be used for code review otherwise done manually, with ongoing validation of its effectiveness and functional and security checks in the pipeline.</t>
  </si>
  <si>
    <t xml:space="preserve">AI-CTRL-004, AI-CTRL-033, AI-CTRL-034</t>
  </si>
  <si>
    <t xml:space="preserve">AI-R04, AI-R05, AI-R07, AI-R08, AI-R14, AI-R16, AI-R17, AI-R20, AI-R22, AI-R55</t>
  </si>
  <si>
    <t xml:space="preserve">6.5.1, with 6.2.4 (change procedures)</t>
  </si>
  <si>
    <t xml:space="preserve">Its Example 1 shows how agent-made patches can meet each element of the change procedure: reason, security impact, approval, testing, and a way back to a secure state.</t>
  </si>
  <si>
    <t xml:space="preserve">AI-CTRL-022, AI-CTRL-025, AI-CTRL-033</t>
  </si>
  <si>
    <t xml:space="preserve">AI-R05, AI-R07, AI-R08, AI-R11, AI-R14, AI-R16, AI-R21, AI-R24, AI-R25, AI-R55</t>
  </si>
  <si>
    <t xml:space="preserve">8.4.2 (MFA into the CDE)</t>
  </si>
  <si>
    <t xml:space="preserve">An AI system cannot perform MFA; where it accesses the CDE from outside, use at least device-bound and ideally cryptographic credentials, time-bound, and never reusable by others.</t>
  </si>
  <si>
    <t xml:space="preserve">12.5.1 (inventory of system components)</t>
  </si>
  <si>
    <t xml:space="preserve">Add AI deployments to the component inventory.</t>
  </si>
  <si>
    <t xml:space="preserve">AI-CTRL-011, AI-CTRL-031</t>
  </si>
  <si>
    <t xml:space="preserve">12.5.2 (scope confirmation)</t>
  </si>
  <si>
    <t xml:space="preserve">Always review AI systems when confirming PCI DSS scope.</t>
  </si>
  <si>
    <t xml:space="preserve">12.8.x (third-party service providers)</t>
  </si>
  <si>
    <t xml:space="preserve">Any external party that provides or hosts part of an AI system with access to sensitive data is a third-party service provider and 12.8.x applies in full.</t>
  </si>
  <si>
    <t xml:space="preserve">12.10.x (incident response)</t>
  </si>
  <si>
    <t xml:space="preserve">Include AI failure scenarios in the incident response plan and its tests: prompt injection, model poisoning, action outside defined scope, shadow AI with sensitive data.</t>
  </si>
  <si>
    <t xml:space="preserve">Logging (not numbered; Requirement 10 [Rec...</t>
  </si>
  <si>
    <t xml:space="preserve">Log AI systems in enough detail to validate, investigate, attribute and reconstruct AI-assisted actions, without storing account data.</t>
  </si>
  <si>
    <t xml:space="preserve">Payment page scripts (not numbered; 6.4.3 ...</t>
  </si>
  <si>
    <t xml:space="preserve">Authorise, inventory and monitor for tampering any AI system implemented within a payment page, like other page scripts.</t>
  </si>
  <si>
    <t xml:space="preserve">Penetration and segmentation testing (not ...</t>
  </si>
  <si>
    <t xml:space="preserve">Include the controls that isolate AI systems in penetration and segmentation testing scope.</t>
  </si>
  <si>
    <t xml:space="preserve">AI-CTRL-027, AI-CTRL-034</t>
  </si>
  <si>
    <t xml:space="preserve">AI-R05, AI-R07, AI-R16, AI-R17, AI-R20, AI-R21, AI-R22, AI-R25, AI-R55</t>
  </si>
  <si>
    <t xml:space="preserve">Requirement 3, and 3.3.1 (no storage of se...</t>
  </si>
  <si>
    <t xml:space="preserve">Use tokens, truncated or encrypted card data where possible; never give AI systems sensitive authentication data, even encrypted, or PIN blocks; anything that may not be stored in cleartext is not given to an AI system in cleartext.</t>
  </si>
  <si>
    <t xml:space="preserve">AI-CTRL-002, AI-CTRL-017</t>
  </si>
  <si>
    <t xml:space="preserve">Targeted risk analysis (not numbered in th...</t>
  </si>
  <si>
    <t xml:space="preserve">Review AI system performance at least quarterly, or at a frequency set by targeted risk analysis; validate before go-live and after any change; pin third-party model versions.</t>
  </si>
  <si>
    <t xml:space="preserve">AI-CTRL-031, AI-CTRL-034, AI-CTRL-037</t>
  </si>
  <si>
    <t xml:space="preserve">AI-R02, AI-R05, AI-R07, AI-R08, AI-R16, AI-R17, AI-R18, AI-R20, AI-R23, AI-R28, AI-R55</t>
  </si>
  <si>
    <t xml:space="preserve">Vulnerability scanning (not numbered; 11.3...</t>
  </si>
  <si>
    <t xml:space="preserve">Quarterly scans remain required; the supplement recommends continuous scanning and a rapid triage process because AI speeds up exploitation.</t>
  </si>
  <si>
    <t xml:space="preserve">AI-R55</t>
  </si>
  <si>
    <t xml:space="preserve">AI in "individual" and "user" roles</t>
  </si>
  <si>
    <t xml:space="preserve">An AI agent may count as an individual except where responsibility or sign-off is required, high-impact secrets are involved, or actions cannot be uniquely attributed to it and to an accountable person; do a risk analysis before giving AI a user role.</t>
  </si>
  <si>
    <t xml:space="preserve">AI-CTRL-015, AI-CTRL-045</t>
  </si>
  <si>
    <t xml:space="preserve">AI-R07, AI-R12, AI-R14, AI-R18, AI-R19, AI-R22, AI-R25, AI-R28</t>
  </si>
  <si>
    <t xml:space="preserve">AI inventory and AI-BOM</t>
  </si>
  <si>
    <t xml:space="preserve">Inventory approved systems; keep an AI-BOM per system with model and version, harness, data and system access, hosting, data use and retention, users and integrations.</t>
  </si>
  <si>
    <t xml:space="preserve">AI software development</t>
  </si>
  <si>
    <t xml:space="preserve">Use known-good repositories, check package provenance, and check that AI-written code has no embedded account data, keys or secrets.</t>
  </si>
  <si>
    <t xml:space="preserve">AI-CTRL-004, AI-CTRL-031</t>
  </si>
  <si>
    <t xml:space="preserve">AI-R04, AI-R08, AI-R16, AI-R22, AI-R23</t>
  </si>
  <si>
    <t xml:space="preserve">AI system inputs and functional limitations</t>
  </si>
  <si>
    <t xml:space="preserve">Models cannot reliably tell instructions from data, guardrails can be bypassed, and output is non-deterministic and drifts.</t>
  </si>
  <si>
    <t xml:space="preserve">AI system owner</t>
  </si>
  <si>
    <t xml:space="preserve">A named person or role approves deployment, defines the tasks and the data types the system may access.</t>
  </si>
  <si>
    <t xml:space="preserve">AI-CTRL-011, AI-CTRL-012</t>
  </si>
  <si>
    <t xml:space="preserve">AI-enabled social engineering and biometri...</t>
  </si>
  <si>
    <t xml:space="preserve">Defend against phishing, vishing and deepfakes, and attacks on remote video and voice biometrics.</t>
  </si>
  <si>
    <t xml:space="preserve">AI-CTRL-021, AI-CTRL-044</t>
  </si>
  <si>
    <t xml:space="preserve">AI-R02, AI-R03, AI-R05, AI-R19</t>
  </si>
  <si>
    <t xml:space="preserve">AI-powered robotic systems</t>
  </si>
  <si>
    <t xml:space="preserve">Keep robots' vision systems from seeing or recording sensitive data in secure facilities.</t>
  </si>
  <si>
    <t xml:space="preserve">Access and containment</t>
  </si>
  <si>
    <t xml:space="preserve">Treat any AI system as a potential malicious insider; an AI system with shell access has access to everything that shell can reach.</t>
  </si>
  <si>
    <t xml:space="preserve">AI-CTRL-016, AI-CTRL-027</t>
  </si>
  <si>
    <t xml:space="preserve">AI-R06, AI-R07, AI-R08, AI-R21, AI-R22, AI-R25, AI-R55</t>
  </si>
  <si>
    <t xml:space="preserve">Account data given to AI</t>
  </si>
  <si>
    <t xml:space="preserve">Prefer tokens or encryption; where cleartext is needed, use an internal AI system with input and egress controls, segmentation and protected storage and context.</t>
  </si>
  <si>
    <t xml:space="preserve">AI-CTRL-017, AI-CTRL-027</t>
  </si>
  <si>
    <t xml:space="preserve">AI-R01, AI-R03, AI-R06, AI-R07, AI-R17, AI-R21, AI-R22, AI-R25, AI-R55</t>
  </si>
  <si>
    <t xml:space="preserve">Adaptation and provenance</t>
  </si>
  <si>
    <t xml:space="preserve">Consider where the model, tools and harnesses come from, how they were trained, and whether training leaves sensitive data in model artefacts that retention and disposal rules then cover.</t>
  </si>
  <si>
    <t xml:space="preserve">AI-CTRL-029, AI-CTRL-031, AI-CTRL-042</t>
  </si>
  <si>
    <t xml:space="preserve">AI-R08, AI-R10, AI-R12, AI-R16, AI-R23, AI-R28</t>
  </si>
  <si>
    <t xml:space="preserve">Categorising AI system risk</t>
  </si>
  <si>
    <t xml:space="preserve">Use the lethal trifecta as a quick check, then categorise by autonomy, expected actions, system access and data access, judged by what is possible rather than intended.</t>
  </si>
  <si>
    <t xml:space="preserve">Cleartext card data (Example 4)</t>
  </si>
  <si>
    <t xml:space="preserve">Keep per-action human approval; least privilege; device-bound, time-bound, phishing-resistant credentials; no external access or untrusted input; independent DLP; fail-secure shutdown on unusual activity.</t>
  </si>
  <si>
    <t xml:space="preserve">AI-CTRL-017, AI-CTRL-023, AI-CTRL-025</t>
  </si>
  <si>
    <t xml:space="preserve">AI-R01, AI-R03, AI-R06, AI-R07, AI-R11, AI-R17, AI-R19, AI-R21, AI-R25, AI-R55</t>
  </si>
  <si>
    <t xml:space="preserve">Computationally infeasible controls</t>
  </si>
  <si>
    <t xml:space="preserve">Prefer controls that are provably strong, such as cryptography and defined segmentation, over controls that only make attacks tedious.</t>
  </si>
  <si>
    <t xml:space="preserve">AI-CTRL-022, AI-CTRL-027</t>
  </si>
  <si>
    <t xml:space="preserve">AI-R07, AI-R21, AI-R22, AI-R24, AI-R25, AI-R55</t>
  </si>
  <si>
    <t xml:space="preserve">Continuous monitoring and rapid triage</t>
  </si>
  <si>
    <t xml:space="preserve">Continuous rather than only periodic scanning, and a fast way to triage and rank the higher volume of findings and patches.</t>
  </si>
  <si>
    <t xml:space="preserve">Credentials constrained outside the AI system</t>
  </si>
  <si>
    <t xml:space="preserve">Enforce limits on agent credentials through IAM, brokered access or network controls, not the agent's own configuration; time-bound or device-bound where possible.</t>
  </si>
  <si>
    <t xml:space="preserve">Credentials in context</t>
  </si>
  <si>
    <t xml:space="preserve">Keep AI credentials in secrets management, never in source code, prompt templates or anything that can reach the context window, output or logs; rotate any that are exposed.</t>
  </si>
  <si>
    <t xml:space="preserve">Evaluation of deployment controls</t>
  </si>
  <si>
    <t xml:space="preserve">Validate guardrails with adversarial and red-team testing before functional and user acceptance testing, and monitor closely while testing.</t>
  </si>
  <si>
    <t xml:space="preserve">High-impact secrets and random values</t>
  </si>
  <si>
    <t xml:space="preserve">Never let AI handle, generate or manage keys, key components or passwords; use a known-good random generator; for cryptography, only the keys and functions the agent needs, logged.</t>
  </si>
  <si>
    <t xml:space="preserve">AI-CTRL-016, AI-CTRL-017</t>
  </si>
  <si>
    <t xml:space="preserve">AI-R01, AI-R03, AI-R06, AI-R07, AI-R08, AI-R17, AI-R22</t>
  </si>
  <si>
    <t xml:space="preserve">Human in the loop or over the loop</t>
  </si>
  <si>
    <t xml:space="preserve">Answer the listed questions before letting an agent act without per-action approval; a suitable human stays accountable.</t>
  </si>
  <si>
    <t xml:space="preserve">Independent egress monitoring</t>
  </si>
  <si>
    <t xml:space="preserve">DLP on AI egress that is validated and independent of the AI system; flag high-entropy, unusual structures and images.</t>
  </si>
  <si>
    <t xml:space="preserve">AI-CTRL-017, AI-CTRL-020</t>
  </si>
  <si>
    <t xml:space="preserve">Internal and external AI systems</t>
  </si>
  <si>
    <t xml:space="preserve">Sending sensitive data to an external AI system reduces or removes control over it; internal systems may suit more sensitive work.</t>
  </si>
  <si>
    <t xml:space="preserve">AI-CTRL-007, AI-CTRL-014</t>
  </si>
  <si>
    <t xml:space="preserve">Large datasets and aggregation</t>
  </si>
  <si>
    <t xml:space="preserve">AI used on large datasets such as logs can expose sensitive data or aggregate it in exploitable ways, and brings that data into scope.</t>
  </si>
  <si>
    <t xml:space="preserve">Limits of AI use</t>
  </si>
  <si>
    <t xml:space="preserve">The five things an AI system should not do (see above).</t>
  </si>
  <si>
    <t xml:space="preserve">AI-CTRL-015, AI-CTRL-016, AI-CTRL-017, AI-CTRL-045</t>
  </si>
  <si>
    <t xml:space="preserve">AI-R01, AI-R03, AI-R06, AI-R07, AI-R08, AI-R12, AI-R14, AI-R17, AI-R18, AI-R19, AI-R22, AI-R25, AI-R28</t>
  </si>
  <si>
    <t xml:space="preserve">Minimise blast radius</t>
  </si>
  <si>
    <t xml:space="preserve">Build on the assumption of a breach and limit what one compromise can reach.</t>
  </si>
  <si>
    <t xml:space="preserve">AI-CTRL-025, AI-CTRL-027</t>
  </si>
  <si>
    <t xml:space="preserve">Multiple agents</t>
  </si>
  <si>
    <t xml:space="preserve">Split work so no single agent can complete a harmful task; guard against agents passing on untrusted prompts or colluding.</t>
  </si>
  <si>
    <t xml:space="preserve">AI-CTRL-006, AI-CTRL-015, AI-CTRL-022</t>
  </si>
  <si>
    <t xml:space="preserve">AI-R07, AI-R22, AI-R24, AI-R25</t>
  </si>
  <si>
    <t xml:space="preserve">Reliability and failure handling</t>
  </si>
  <si>
    <t xml:space="preserve">Treat output as untrusted; design review against automation bias; bound autonomy by independent validation and reversibility, for example a tested rollback plan.</t>
  </si>
  <si>
    <t xml:space="preserve">AI-CTRL-020, AI-CTRL-039, AI-CTRL-045</t>
  </si>
  <si>
    <t xml:space="preserve">AI-R05, AI-R06, AI-R07, AI-R12, AI-R14, AI-R18, AI-R19, AI-R20, AI-R24, AI-R26, AI-R28</t>
  </si>
  <si>
    <t xml:space="preserve">Requirements, scoping and threat modelling</t>
  </si>
  <si>
    <t xml:space="preserve">Define purpose, data, users and systems first; set guardrails from a threat model.</t>
  </si>
  <si>
    <t xml:space="preserve">AI-CTRL-011, AI-CTRL-033</t>
  </si>
  <si>
    <t xml:space="preserve">AI-R02, AI-R05, AI-R07, AI-R08, AI-R14, AI-R16, AI-R18, AI-R55</t>
  </si>
  <si>
    <t xml:space="preserve">Shadow AI</t>
  </si>
  <si>
    <t xml:space="preserve">Do not rely on policy alone: restrict and monitor AI sites, scan endpoints for local AI and add-ons, allow-list software, watch for MCP traffic.</t>
  </si>
  <si>
    <t xml:space="preserve">Use, monitoring and revalidation</t>
  </si>
  <si>
    <t xml:space="preserve">No AI system is ever finished; assume drift and keep revalidating.</t>
  </si>
  <si>
    <t xml:space="preserve">Principle 1.1</t>
  </si>
  <si>
    <t xml:space="preserve">Inclusive growth, sustainable development and well-being</t>
  </si>
  <si>
    <t xml:space="preserve">OECD AI Principles Crosswalk</t>
  </si>
  <si>
    <t xml:space="preserve">Principle 1.2</t>
  </si>
  <si>
    <t xml:space="preserve">Respect for the rule of law, human rights and democratic values, including fairness and privacy</t>
  </si>
  <si>
    <t xml:space="preserve">AI-CTRL-013, AI-CTRL-041, AI-CTRL-042, AI-CTRL-045</t>
  </si>
  <si>
    <t xml:space="preserve">AI-R03, AI-R07, AI-R10, AI-R12, AI-R14, AI-R15, AI-R18, AI-R19, AI-R27, AI-R28</t>
  </si>
  <si>
    <t xml:space="preserve">Principle 1.3</t>
  </si>
  <si>
    <t xml:space="preserve">Transparency and explainability</t>
  </si>
  <si>
    <t xml:space="preserve">AI-CTRL-013, AI-CTRL-039, AI-CTRL-041</t>
  </si>
  <si>
    <t xml:space="preserve">AI-R03, AI-R10, AI-R12, AI-R14, AI-R15, AI-R20, AI-R27, AI-R28</t>
  </si>
  <si>
    <t xml:space="preserve">Principle 1.4</t>
  </si>
  <si>
    <t xml:space="preserve">Robustness, security and safety</t>
  </si>
  <si>
    <t xml:space="preserve">AI-CTRL-005, AI-CTRL-025, AI-CTRL-028, AI-CTRL-034, AI-CTRL-040</t>
  </si>
  <si>
    <t xml:space="preserve">AI-R05, AI-R06, AI-R07, AI-R08, AI-R11, AI-R13, AI-R16, AI-R17, AI-R20, AI-R21, AI-R24, AI-R25, AI-R55</t>
  </si>
  <si>
    <t xml:space="preserve">Principle 1.5</t>
  </si>
  <si>
    <t xml:space="preserve">Accountability</t>
  </si>
  <si>
    <t xml:space="preserve">AI-CTRL-008, AI-CTRL-011, AI-CTRL-012, AI-CTRL-037, AI-CTRL-038</t>
  </si>
  <si>
    <t xml:space="preserve">AI-R02, AI-R03, AI-R09, AI-R15, AI-R18, AI-R19, AI-R26, AI-R27, AI-R28, AI-R55</t>
  </si>
  <si>
    <t xml:space="preserve">AI-CTRL-008, AI-CTRL-012, AI-CTRL-037, AI-CTRL-038</t>
  </si>
  <si>
    <t xml:space="preserve">Trustworthy AI and Ethics Standards Crosswalk</t>
  </si>
  <si>
    <t xml:space="preserve">Diversity, non-discrimination and fairness</t>
  </si>
  <si>
    <t xml:space="preserve">Human agency and oversight</t>
  </si>
  <si>
    <t xml:space="preserve">Privacy and data governance</t>
  </si>
  <si>
    <t xml:space="preserve">Societal and environmental well-being</t>
  </si>
  <si>
    <t xml:space="preserve">Technical robustness and safety</t>
  </si>
  <si>
    <t xml:space="preserve">AI-CTRL-005, AI-CTRL-028, AI-CTRL-034, AI-CTRL-040</t>
  </si>
  <si>
    <t xml:space="preserve">AI-R05, AI-R06, AI-R07, AI-R08, AI-R13, AI-R16, AI-R17, AI-R20, AI-R24</t>
  </si>
  <si>
    <t xml:space="preserve">Transparency</t>
  </si>
  <si>
    <t xml:space="preserve">AI-CTRL-008, AI-CTRL-039, AI-CTRL-041</t>
  </si>
  <si>
    <t xml:space="preserve">Awareness and literacy</t>
  </si>
  <si>
    <t xml:space="preserve">Fairness and non-discrimination</t>
  </si>
  <si>
    <t xml:space="preserve">Human oversight and determination</t>
  </si>
  <si>
    <t xml:space="preserve">AI-CTRL-045, AI-CTRL-023</t>
  </si>
  <si>
    <t xml:space="preserve">Multi-stakeholder and adaptive governance ...</t>
  </si>
  <si>
    <t xml:space="preserve">AI-CTRL-012, AI-CTRL-043</t>
  </si>
  <si>
    <t xml:space="preserve">AI-R02, AI-R03, AI-R09, AI-R10, AI-R18, AI-R19, AI-R27, AI-R28</t>
  </si>
  <si>
    <t xml:space="preserve">Proportionality and do no harm</t>
  </si>
  <si>
    <t xml:space="preserve">AI-CTRL-037, AI-CTRL-042</t>
  </si>
  <si>
    <t xml:space="preserve">Responsibility and accountability</t>
  </si>
  <si>
    <t xml:space="preserve">AI-CTRL-012, AI-CTRL-038</t>
  </si>
  <si>
    <t xml:space="preserve">AI-R02, AI-R03, AI-R09, AI-R15, AI-R18, AI-R19, AI-R27, AI-R28</t>
  </si>
  <si>
    <t xml:space="preserve">Right to privacy and data protection</t>
  </si>
  <si>
    <t xml:space="preserve">Safety and security</t>
  </si>
  <si>
    <t xml:space="preserve">AI-CTRL-005, AI-CTRL-034, AI-CTRL-040</t>
  </si>
  <si>
    <t xml:space="preserve">AI-R05, AI-R06, AI-R07, AI-R13, AI-R16, AI-R17, AI-R20, AI-R24</t>
  </si>
  <si>
    <t xml:space="preserve">Sustainability</t>
  </si>
  <si>
    <t xml:space="preserve">IEEE 7000-2021</t>
  </si>
  <si>
    <t xml:space="preserve">Processes to elicit and prioritise stakeholders' ethical values and keep them traceable into design</t>
  </si>
  <si>
    <t xml:space="preserve">AI-CTRL-033, AI-CTRL-042</t>
  </si>
  <si>
    <t xml:space="preserve">AI-R05, AI-R07, AI-R08, AI-R10, AI-R12, AI-R14, AI-R16, AI-R28, AI-R55</t>
  </si>
  <si>
    <t xml:space="preserve">Partial: the wiki has no step for eliciting stakeholder values at inception.</t>
  </si>
  <si>
    <t xml:space="preserve">IEEE 7001-2021</t>
  </si>
  <si>
    <t xml:space="preserve">Measurable, testable levels of transparency</t>
  </si>
  <si>
    <t xml:space="preserve">AI-CTRL-008, AI-CTRL-035, AI-CTRL-039, AI-CTRL-041</t>
  </si>
  <si>
    <t xml:space="preserve">Partial: the wiki does not set a target transparency level for each audience. The draft's investigator levels (timestamped logs, decision logs, logged reasons) correspond to AI-CTRL-008.</t>
  </si>
  <si>
    <t xml:space="preserve">IEEE 7002-2022</t>
  </si>
  <si>
    <t xml:space="preserve">Engineering process requirements for privacy in systems that use personal data, with privacy impact assessments and conformity checklists</t>
  </si>
  <si>
    <t xml:space="preserve">AI-CTRL-013, AI-CTRL-017, AI-CTRL-042</t>
  </si>
  <si>
    <t xml:space="preserve">AI-R01, AI-R03, AI-R06, AI-R10, AI-R12, AI-R17, AI-R27, AI-R28</t>
  </si>
  <si>
    <t xml:space="preserve">IEEE 7003-2024</t>
  </si>
  <si>
    <t xml:space="preserve">Criteria for validation datasets for bias quality control; defining and communicating an algorithm's validated application boundaries; managing user expectations</t>
  </si>
  <si>
    <t xml:space="preserve">IEEE 7010-2020</t>
  </si>
  <si>
    <t xml:space="preserve">Well-being impact assessment based on established well-being indicators and stakeholder engagement</t>
  </si>
  <si>
    <t xml:space="preserve">14, 15</t>
  </si>
  <si>
    <t xml:space="preserve">Remedies; procedural safeguards (including notice of interacting with AI)</t>
  </si>
  <si>
    <t xml:space="preserve">International AI Instruments Crosswalk</t>
  </si>
  <si>
    <t xml:space="preserve">Art. 7</t>
  </si>
  <si>
    <t xml:space="preserve">Human dignity and individual autonomy</t>
  </si>
  <si>
    <t xml:space="preserve">AI-CTRL-042, AI-CTRL-045</t>
  </si>
  <si>
    <t xml:space="preserve">AI-R07, AI-R10, AI-R12, AI-R14, AI-R18, AI-R19, AI-R28</t>
  </si>
  <si>
    <t xml:space="preserve">Art. 8</t>
  </si>
  <si>
    <t xml:space="preserve">Transparency and oversight</t>
  </si>
  <si>
    <t xml:space="preserve">AI-R07, AI-R12, AI-R14, AI-R18, AI-R19, AI-R20, AI-R28</t>
  </si>
  <si>
    <t xml:space="preserve">Art. 9</t>
  </si>
  <si>
    <t xml:space="preserve">Accountability and responsibility</t>
  </si>
  <si>
    <t xml:space="preserve">AI-CTRL-008, AI-CTRL-012, AI-CTRL-038</t>
  </si>
  <si>
    <t xml:space="preserve">AI-R02, AI-R03, AI-R09, AI-R15, AI-R18, AI-R19, AI-R26, AI-R27, AI-R28</t>
  </si>
  <si>
    <t xml:space="preserve">Art. 10</t>
  </si>
  <si>
    <t xml:space="preserve">Equality and non-discrimination</t>
  </si>
  <si>
    <t xml:space="preserve">Art. 11</t>
  </si>
  <si>
    <t xml:space="preserve">Privacy and personal data protection</t>
  </si>
  <si>
    <t xml:space="preserve">Art. 12</t>
  </si>
  <si>
    <t xml:space="preserve">Reliability</t>
  </si>
  <si>
    <t xml:space="preserve">AI-CTRL-034, AI-CTRL-039, AI-CTRL-040</t>
  </si>
  <si>
    <t xml:space="preserve">AI-R05, AI-R07, AI-R12, AI-R13, AI-R14, AI-R16, AI-R17, AI-R20</t>
  </si>
  <si>
    <t xml:space="preserve">Art. 13</t>
  </si>
  <si>
    <t xml:space="preserve">Safe innovation</t>
  </si>
  <si>
    <t xml:space="preserve">Art. 16</t>
  </si>
  <si>
    <t xml:space="preserve">Risk and impact management framework</t>
  </si>
  <si>
    <t xml:space="preserve">Art. 19</t>
  </si>
  <si>
    <t xml:space="preserve">Public consultation</t>
  </si>
  <si>
    <t xml:space="preserve">Art. 20</t>
  </si>
  <si>
    <t xml:space="preserve">Digital literacy and skills</t>
  </si>
  <si>
    <t xml:space="preserve">Art. 26</t>
  </si>
  <si>
    <t xml:space="preserve">Effective oversight mechanisms</t>
  </si>
  <si>
    <t xml:space="preserve">Action 1</t>
  </si>
  <si>
    <t xml:space="preserve">Take appropriate measures throughout development to identify, evaluate and mitigate risks</t>
  </si>
  <si>
    <t xml:space="preserve">AI-CTRL-033, AI-CTRL-034, AI-CTRL-037</t>
  </si>
  <si>
    <t xml:space="preserve">AI-R02, AI-R05, AI-R07, AI-R08, AI-R14, AI-R16, AI-R17, AI-R18, AI-R20, AI-R28, AI-R55</t>
  </si>
  <si>
    <t xml:space="preserve">Action 2</t>
  </si>
  <si>
    <t xml:space="preserve">Identify and mitigate vulnerabilities, incidents and patterns of misuse after deployment</t>
  </si>
  <si>
    <t xml:space="preserve">AI-CTRL-034, AI-CTRL-035, AI-CTRL-036</t>
  </si>
  <si>
    <t xml:space="preserve">AI-R05, AI-R07, AI-R09, AI-R11, AI-R16, AI-R17, AI-R20</t>
  </si>
  <si>
    <t xml:space="preserve">Action 3</t>
  </si>
  <si>
    <t xml:space="preserve">Publicly report capabilities, limitations and domains of appropriate and inappropriate use</t>
  </si>
  <si>
    <t xml:space="preserve">Action 4</t>
  </si>
  <si>
    <t xml:space="preserve">Work towards responsible information sharing and incident reporting among organizations</t>
  </si>
  <si>
    <t xml:space="preserve">Action 5</t>
  </si>
  <si>
    <t xml:space="preserve">Develop, implement and disclose AI governance and risk management policies</t>
  </si>
  <si>
    <t xml:space="preserve">AI-CTRL-012, AI-CTRL-037</t>
  </si>
  <si>
    <t xml:space="preserve">AI-R02, AI-R03, AI-R18, AI-R19, AI-R27, AI-R28, AI-R55</t>
  </si>
  <si>
    <t xml:space="preserve">Action 6</t>
  </si>
  <si>
    <t xml:space="preserve">Invest in robust security controls, including physical security and cybersecurity</t>
  </si>
  <si>
    <t xml:space="preserve">AI-CTRL-028, AI-CTRL-030, AI-CTRL-032</t>
  </si>
  <si>
    <t xml:space="preserve">Action 7</t>
  </si>
  <si>
    <t xml:space="preserve">Develop and deploy content authentication and provenance mechanisms where technically feasible</t>
  </si>
  <si>
    <t xml:space="preserve">Action 8</t>
  </si>
  <si>
    <t xml:space="preserve">Prioritize research to mitigate societal, safety and security risks</t>
  </si>
  <si>
    <t xml:space="preserve">Action 9</t>
  </si>
  <si>
    <t xml:space="preserve">Prioritize development of advanced AI to address the world's greatest challenges</t>
  </si>
  <si>
    <t xml:space="preserve">Action 10</t>
  </si>
  <si>
    <t xml:space="preserve">Advance the development and adoption of international technical standards</t>
  </si>
  <si>
    <t xml:space="preserve">Action 11</t>
  </si>
  <si>
    <t xml:space="preserve">Implement appropriate data input measures and protections for personal data and intellectual property</t>
  </si>
  <si>
    <t xml:space="preserve">AI-CTRL-013, AI-CTRL-029, AI-CTRL-046</t>
  </si>
  <si>
    <t xml:space="preserve">AI-R03, AI-R08, AI-R10, AI-R27, AI-R28</t>
  </si>
  <si>
    <t xml:space="preserve">Automated decisions about individuals</t>
  </si>
  <si>
    <t xml:space="preserve">Art. 22: a right not to be subject to a solely automated decision with legal or similarly significant effect, with exceptions and safeguards</t>
  </si>
  <si>
    <t xml:space="preserve">AI-CTRL-013, AI-CTRL-023, AI-CTRL-041, AI-CTRL-045</t>
  </si>
  <si>
    <t xml:space="preserve">Privacy Law Crosswalk</t>
  </si>
  <si>
    <t xml:space="preserve">Art. 18: a right to object to decisions made by automated processing that have legal or serious effects</t>
  </si>
  <si>
    <t xml:space="preserve">Breach notification</t>
  </si>
  <si>
    <t xml:space="preserve">Arts. 33 and 34: to the authority within 72 hours, and to individuals when the risk is high</t>
  </si>
  <si>
    <t xml:space="preserve">Art. 9: to the Data Office, and to individuals where their privacy is at risk. The period is left to the Executive Regulation</t>
  </si>
  <si>
    <t xml:space="preserve">Impact assessment before risky processing</t>
  </si>
  <si>
    <t xml:space="preserve">Art. 35: data protection impact assessment for high-risk processing</t>
  </si>
  <si>
    <t xml:space="preserve">Art. 21: data protection impact assessment for high-risk processing</t>
  </si>
  <si>
    <t xml:space="preserve">Requests from individuals</t>
  </si>
  <si>
    <t xml:space="preserve">Arts. 15 to 21: access, rectification, erasure, restriction, portability and objection</t>
  </si>
  <si>
    <t xml:space="preserve">Arts. 13 to 18</t>
  </si>
  <si>
    <t xml:space="preserve">Retention and deletion</t>
  </si>
  <si>
    <t xml:space="preserve">Art. 5(1)(e) storage limitation; Art. 17 erasure</t>
  </si>
  <si>
    <t xml:space="preserve">Art. 5: keep no longer than the purpose needs; Art. 15 erasure</t>
  </si>
  <si>
    <t xml:space="preserve">Transfers outside the jurisdiction</t>
  </si>
  <si>
    <t xml:space="preserve">Chapter V (Arts. 44 to 49): adequacy decision, safeguards or a derogation</t>
  </si>
  <si>
    <t xml:space="preserve">Arts. 22 and 23: adequate protection, or a listed exception</t>
  </si>
  <si>
    <t xml:space="preserve">Vendors that process the data</t>
  </si>
  <si>
    <t xml:space="preserve">Art. 28: processor contract with set terms</t>
  </si>
  <si>
    <t xml:space="preserve">Art. 8: processor duties</t>
  </si>
  <si>
    <t xml:space="preserve">B1</t>
  </si>
  <si>
    <t xml:space="preserve">Law 30/2018 PDPL</t>
  </si>
  <si>
    <t xml:space="preserve">GCC Regulatory Crosswalk</t>
  </si>
  <si>
    <t xml:space="preserve">B2</t>
  </si>
  <si>
    <t xml:space="preserve">General Policy for Use of AI (May 2025)</t>
  </si>
  <si>
    <t xml:space="preserve">B3</t>
  </si>
  <si>
    <t xml:space="preserve">Draft AI law (38 articles)</t>
  </si>
  <si>
    <t xml:space="preserve">B4</t>
  </si>
  <si>
    <t xml:space="preserve">CBB digital financial advice directives</t>
  </si>
  <si>
    <t xml:space="preserve">K1</t>
  </si>
  <si>
    <t xml:space="preserve">None listed</t>
  </si>
  <si>
    <t xml:space="preserve">O1</t>
  </si>
  <si>
    <t xml:space="preserve">National AI Policy (9 Apr 2025)</t>
  </si>
  <si>
    <t xml:space="preserve">AI-CTRL-011, AI-CTRL-037, AI-CTRL-038</t>
  </si>
  <si>
    <t xml:space="preserve">AI-R02, AI-R09, AI-R15, AI-R18, AI-R28, AI-R55</t>
  </si>
  <si>
    <t xml:space="preserve">O2</t>
  </si>
  <si>
    <t xml:space="preserve">PDPL amendments</t>
  </si>
  <si>
    <t xml:space="preserve">Q1</t>
  </si>
  <si>
    <t xml:space="preserve">Law 13/2016 PDPPL</t>
  </si>
  <si>
    <t xml:space="preserve">Q2</t>
  </si>
  <si>
    <t xml:space="preserve">NCSA Guidelines for Secure Adoption and Usage of AI</t>
  </si>
  <si>
    <t xml:space="preserve">Q3</t>
  </si>
  <si>
    <t xml:space="preserve">MCIT Ethical AI Principles</t>
  </si>
  <si>
    <t xml:space="preserve">AI-CTRL-012, AI-CTRL-039, AI-CTRL-041</t>
  </si>
  <si>
    <t xml:space="preserve">AI-R02, AI-R03, AI-R12, AI-R14, AI-R15, AI-R18, AI-R19, AI-R20, AI-R27, AI-R28</t>
  </si>
  <si>
    <t xml:space="preserve">Q4</t>
  </si>
  <si>
    <t xml:space="preserve">QCB AI Guideline (4 Sep 2024)</t>
  </si>
  <si>
    <t xml:space="preserve">AI-CTRL-011, AI-CTRL-023, AI-CTRL-033, AI-CTRL-041</t>
  </si>
  <si>
    <t xml:space="preserve">AI-R02, AI-R05, AI-R07, AI-R08, AI-R12, AI-R14, AI-R15, AI-R16, AI-R18, AI-R19, AI-R55</t>
  </si>
  <si>
    <t xml:space="preserve">S1</t>
  </si>
  <si>
    <t xml:space="preserve">PDPL</t>
  </si>
  <si>
    <t xml:space="preserve">S2</t>
  </si>
  <si>
    <t xml:space="preserve">SDAIA AI Ethics Principles</t>
  </si>
  <si>
    <t xml:space="preserve">S3</t>
  </si>
  <si>
    <t xml:space="preserve">SDAIA Generative AI Guidelines</t>
  </si>
  <si>
    <t xml:space="preserve">AI-CTRL-002, AI-CTRL-010, AI-CTRL-012</t>
  </si>
  <si>
    <t xml:space="preserve">S4</t>
  </si>
  <si>
    <t xml:space="preserve">SDAIA AI Adoption Framework</t>
  </si>
  <si>
    <t xml:space="preserve">S5</t>
  </si>
  <si>
    <t xml:space="preserve">SDAIA National AI Risk Mgmt Framework (SDAIA-P145)</t>
  </si>
  <si>
    <t xml:space="preserve">S6</t>
  </si>
  <si>
    <t xml:space="preserve">NCA ECC and CCC</t>
  </si>
  <si>
    <t xml:space="preserve">AI-CTRL-005, AI-CTRL-008, AI-CTRL-032</t>
  </si>
  <si>
    <t xml:space="preserve">AI-R05, AI-R06, AI-R08, AI-R09, AI-R10, AI-R15, AI-R24, AI-R26</t>
  </si>
  <si>
    <t xml:space="preserve">S7</t>
  </si>
  <si>
    <t xml:space="preserve">NCA NCNICC-1:2025</t>
  </si>
  <si>
    <t xml:space="preserve">S8</t>
  </si>
  <si>
    <t xml:space="preserve">NCA AI Cybersecurity Guidelines</t>
  </si>
  <si>
    <t xml:space="preserve">S9</t>
  </si>
  <si>
    <t xml:space="preserve">Copyright TDM exception</t>
  </si>
  <si>
    <t xml:space="preserve">S10</t>
  </si>
  <si>
    <t xml:space="preserve">NDMO/CST/SAMA localisation overlays</t>
  </si>
  <si>
    <t xml:space="preserve">U1</t>
  </si>
  <si>
    <t xml:space="preserve">Federal Decree-Law 45/2021 (PDPL)</t>
  </si>
  <si>
    <t xml:space="preserve">AI-CTRL-007, AI-CTRL-013, AI-CTRL-017, AI-CTRL-035</t>
  </si>
  <si>
    <t xml:space="preserve">AI-R01, AI-R03, AI-R06, AI-R09, AI-R10, AI-R17, AI-R20, AI-R27, AI-R28</t>
  </si>
  <si>
    <t xml:space="preserve">U2</t>
  </si>
  <si>
    <t xml:space="preserve">Federal Decree-Law 34/2021 (cybercrime)</t>
  </si>
  <si>
    <t xml:space="preserve">AI-CTRL-005, AI-CTRL-028, AI-CTRL-035</t>
  </si>
  <si>
    <t xml:space="preserve">AI-R05, AI-R06, AI-R08, AI-R09, AI-R20, AI-R24</t>
  </si>
  <si>
    <t xml:space="preserve">U3</t>
  </si>
  <si>
    <t xml:space="preserve">UAE Charter for Development and Use of AI</t>
  </si>
  <si>
    <t xml:space="preserve">AI-CTRL-012, AI-CTRL-023, AI-CTRL-039</t>
  </si>
  <si>
    <t xml:space="preserve">AI-R02, AI-R03, AI-R07, AI-R12, AI-R14, AI-R18, AI-R19, AI-R20, AI-R27, AI-R28</t>
  </si>
  <si>
    <t xml:space="preserve">U4</t>
  </si>
  <si>
    <t xml:space="preserve">UAE AI Ethics Principles and Self-Assessment</t>
  </si>
  <si>
    <t xml:space="preserve">U5</t>
  </si>
  <si>
    <t xml:space="preserve">Federal Authority for AI and Data</t>
  </si>
  <si>
    <t xml:space="preserve">AI-CTRL-013, AI-CTRL-038</t>
  </si>
  <si>
    <t xml:space="preserve">AI-R03, AI-R09, AI-R10, AI-R15, AI-R27, AI-R28</t>
  </si>
  <si>
    <t xml:space="preserve">U6</t>
  </si>
  <si>
    <t xml:space="preserve">DIFC DP Law and Regulation 10</t>
  </si>
  <si>
    <t xml:space="preserve">AI-CTRL-011, AI-CTRL-013, AI-CTRL-023, AI-CTRL-041</t>
  </si>
  <si>
    <t xml:space="preserve">AI-R02, AI-R03, AI-R07, AI-R10, AI-R12, AI-R14, AI-R15, AI-R18, AI-R19, AI-R27, AI-R28</t>
  </si>
  <si>
    <t xml:space="preserve">U7</t>
  </si>
  <si>
    <t xml:space="preserve">ADGM Data Protection Regulations</t>
  </si>
  <si>
    <t xml:space="preserve">U8</t>
  </si>
  <si>
    <t xml:space="preserve">Dubai AI Security Policy (DESC)</t>
  </si>
  <si>
    <t xml:space="preserve">U9</t>
  </si>
  <si>
    <t xml:space="preserve">CBUAE Guidance Note on AI/ML</t>
  </si>
  <si>
    <t xml:space="preserve">AI-CTRL-011, AI-CTRL-014, AI-CTRL-023, AI-CTRL-025, AI-CTRL-041</t>
  </si>
  <si>
    <t xml:space="preserve">AI-R02, AI-R07, AI-R08, AI-R10, AI-R11, AI-R12, AI-R14, AI-R15, AI-R16, AI-R18, AI-R19, AI-R21, AI-R25, AI-R55</t>
  </si>
  <si>
    <t xml:space="preserve">U10</t>
  </si>
  <si>
    <t xml:space="preserve">AIATC Law 3/2024</t>
  </si>
  <si>
    <t xml:space="preserve">U11</t>
  </si>
  <si>
    <t xml:space="preserve">UAE information assurance (NESA/IA)</t>
  </si>
  <si>
    <t xml:space="preserve">AI-CTRL-005, AI-CTRL-008, AI-CTRL-009, AI-CTRL-032</t>
  </si>
  <si>
    <t xml:space="preserve">U12</t>
  </si>
  <si>
    <t xml:space="preserve">Dubai AI Seal</t>
  </si>
  <si>
    <t xml:space="preserve">E1</t>
  </si>
  <si>
    <t xml:space="preserve">AI Act (Regulation (EU) 2024/1689) as amended by the Digital Omnibus on AI (Regulation (EU) 2026/1744)</t>
  </si>
  <si>
    <t xml:space="preserve">EU Regulatory Crosswalk</t>
  </si>
  <si>
    <t xml:space="preserve">E1a</t>
  </si>
  <si>
    <t xml:space="preserve">AI Act Art. 5 prohibited practices</t>
  </si>
  <si>
    <t xml:space="preserve">E1b</t>
  </si>
  <si>
    <t xml:space="preserve">AI Act Art. 4 AI literacy</t>
  </si>
  <si>
    <t xml:space="preserve">E1c</t>
  </si>
  <si>
    <t xml:space="preserve">AI Act high-risk (Arts. 9 to 17, 26, 27, 43 to 49, 72, 73)</t>
  </si>
  <si>
    <t xml:space="preserve">AI-CTRL-008, AI-CTRL-013, AI-CTRL-023, AI-CTRL-034, AI-CTRL-035, AI-CTRL-037, AI-CTRL-038, AI-CTRL-039</t>
  </si>
  <si>
    <t xml:space="preserve">AI-R02, AI-R03, AI-R05, AI-R07, AI-R09, AI-R10, AI-R12, AI-R14, AI-R15, AI-R16, AI-R17, AI-R18, AI-R19, AI-R20, AI-R26, AI-R27, AI-R28, AI-R55</t>
  </si>
  <si>
    <t xml:space="preserve">E1d</t>
  </si>
  <si>
    <t xml:space="preserve">AI Act Art. 50 transparency</t>
  </si>
  <si>
    <t xml:space="preserve">E1e</t>
  </si>
  <si>
    <t xml:space="preserve">AI Act GPAI (Arts. 51 to 55)</t>
  </si>
  <si>
    <t xml:space="preserve">AI-CTRL-014, AI-CTRL-028, AI-CTRL-029</t>
  </si>
  <si>
    <t xml:space="preserve">E2</t>
  </si>
  <si>
    <t xml:space="preserve">GDPR</t>
  </si>
  <si>
    <t xml:space="preserve">E3</t>
  </si>
  <si>
    <t xml:space="preserve">EDPB opinion on AI models and personal data</t>
  </si>
  <si>
    <t xml:space="preserve">E4</t>
  </si>
  <si>
    <t xml:space="preserve">Digital Omnibus (data/GDPR)</t>
  </si>
  <si>
    <t xml:space="preserve">E5</t>
  </si>
  <si>
    <t xml:space="preserve">NIS2</t>
  </si>
  <si>
    <t xml:space="preserve">AI-CTRL-005, AI-CTRL-035</t>
  </si>
  <si>
    <t xml:space="preserve">AI-R05, AI-R06, AI-R09, AI-R20, AI-R24</t>
  </si>
  <si>
    <t xml:space="preserve">E6</t>
  </si>
  <si>
    <t xml:space="preserve">DORA</t>
  </si>
  <si>
    <t xml:space="preserve">AI-CTRL-014, AI-CTRL-035</t>
  </si>
  <si>
    <t xml:space="preserve">AI-R08, AI-R09, AI-R10, AI-R16, AI-R20</t>
  </si>
  <si>
    <t xml:space="preserve">E7</t>
  </si>
  <si>
    <t xml:space="preserve">Cyber Resilience Act</t>
  </si>
  <si>
    <t xml:space="preserve">AI-CTRL-005, AI-CTRL-008</t>
  </si>
  <si>
    <t xml:space="preserve">AI-R05, AI-R06, AI-R09, AI-R15, AI-R24, AI-R26</t>
  </si>
  <si>
    <t xml:space="preserve">E8</t>
  </si>
  <si>
    <t xml:space="preserve">Product Liability Directive (new)</t>
  </si>
  <si>
    <t xml:space="preserve">E9</t>
  </si>
  <si>
    <t xml:space="preserve">Data Act</t>
  </si>
  <si>
    <t xml:space="preserve">E10</t>
  </si>
  <si>
    <t xml:space="preserve">Digital Services Act</t>
  </si>
  <si>
    <t xml:space="preserve">E11</t>
  </si>
  <si>
    <t xml:space="preserve">Copyright TDM opt-out</t>
  </si>
  <si>
    <t xml:space="preserve">E12</t>
  </si>
  <si>
    <t xml:space="preserve">Commission guidelines: prohibited practices</t>
  </si>
  <si>
    <t xml:space="preserve">E13</t>
  </si>
  <si>
    <t xml:space="preserve">Commission guidelines: GPAI</t>
  </si>
  <si>
    <t xml:space="preserve">E14</t>
  </si>
  <si>
    <t xml:space="preserve">Commission draft guidelines: high-risk classification</t>
  </si>
  <si>
    <t xml:space="preserve">E15</t>
  </si>
  <si>
    <t xml:space="preserve">GPAI Code of Practice</t>
  </si>
  <si>
    <t xml:space="preserve">E16</t>
  </si>
  <si>
    <t xml:space="preserve">Code of Practice on marking and labelling AI content</t>
  </si>
  <si>
    <t xml:space="preserve">E17</t>
  </si>
  <si>
    <t xml:space="preserve">CEN-CENELEC JTC 21 standards (EN 18286:2026; prEN 18228, 18229, 18282, 18284)</t>
  </si>
  <si>
    <t xml:space="preserve">AI-CTRL-005, AI-CTRL-012, AI-CTRL-013, AI-CTRL-037</t>
  </si>
  <si>
    <t xml:space="preserve">AI-R02, AI-R03, AI-R05, AI-R06, AI-R10, AI-R18, AI-R19, AI-R24, AI-R27, AI-R28, AI-R55</t>
  </si>
  <si>
    <t xml:space="preserve">E18</t>
  </si>
  <si>
    <t xml:space="preserve">ISO/IEC 42001</t>
  </si>
  <si>
    <t xml:space="preserve">UK1</t>
  </si>
  <si>
    <t xml:space="preserve">UK approach: five principles (safety and robustness; transparency; fairness; accountability; contestability and redress)</t>
  </si>
  <si>
    <t xml:space="preserve">UK Regulatory Crosswalk</t>
  </si>
  <si>
    <t xml:space="preserve">UK2</t>
  </si>
  <si>
    <t xml:space="preserve">UK GDPR and Data Protection Act 2018</t>
  </si>
  <si>
    <t xml:space="preserve">UK3</t>
  </si>
  <si>
    <t xml:space="preserve">Data (Use and Access) Act 2025: new Arts 22A to 22D</t>
  </si>
  <si>
    <t xml:space="preserve">AI-CTRL-013, AI-CTRL-023, AI-CTRL-041</t>
  </si>
  <si>
    <t xml:space="preserve">AI-R03, AI-R07, AI-R10, AI-R12, AI-R14, AI-R15, AI-R19, AI-R27, AI-R28</t>
  </si>
  <si>
    <t xml:space="preserve">UK4</t>
  </si>
  <si>
    <t xml:space="preserve">ICO guidance on AI and data protection</t>
  </si>
  <si>
    <t xml:space="preserve">AI-CTRL-013, AI-CTRL-041</t>
  </si>
  <si>
    <t xml:space="preserve">UK5</t>
  </si>
  <si>
    <t xml:space="preserve">FCA approach (principles, Consumer Duty, SM&amp;CR)</t>
  </si>
  <si>
    <t xml:space="preserve">AI-CTRL-012, AI-CTRL-023, AI-CTRL-037</t>
  </si>
  <si>
    <t xml:space="preserve">AI-R02, AI-R03, AI-R07, AI-R18, AI-R19, AI-R27, AI-R28, AI-R55</t>
  </si>
  <si>
    <t xml:space="preserve">UK6</t>
  </si>
  <si>
    <t xml:space="preserve">PRA SS1/23 model risk management</t>
  </si>
  <si>
    <t xml:space="preserve">UK7</t>
  </si>
  <si>
    <t xml:space="preserve">CMA and Ofcom roles (competition; online safety)</t>
  </si>
  <si>
    <t xml:space="preserve">UK8</t>
  </si>
  <si>
    <t xml:space="preserve">Copyright and AI training</t>
  </si>
  <si>
    <t xml:space="preserve">UK9</t>
  </si>
  <si>
    <t xml:space="preserve">AI (Regulation) private member's bill</t>
  </si>
  <si>
    <t xml:space="preserve">UK10</t>
  </si>
  <si>
    <t xml:space="preserve">NCSC and DSIT guidance on secure AI (guidelines for secure AI system development; AI cyber security code of practice)</t>
  </si>
  <si>
    <t xml:space="preserve">UK11</t>
  </si>
  <si>
    <t xml:space="preserve">Algorithmic Transparency Recording Standard</t>
  </si>
  <si>
    <t xml:space="preserve">AI-CTRL-011, AI-CTRL-039</t>
  </si>
  <si>
    <t xml:space="preserve">AI-R02, AI-R12, AI-R14, AI-R18, AI-R20</t>
  </si>
  <si>
    <t xml:space="preserve">UK12</t>
  </si>
  <si>
    <t xml:space="preserve">Equality Act 2010</t>
  </si>
  <si>
    <t xml:space="preserve">UK13</t>
  </si>
  <si>
    <t xml:space="preserve">AI Management Essentials (AIME) self-assessment tool</t>
  </si>
  <si>
    <t xml:space="preserve">AI-CTRL-011, AI-CTRL-012, AI-CTRL-037, AI-CTRL-041, AI-CTRL-042</t>
  </si>
  <si>
    <t xml:space="preserve">AI-R02, AI-R03, AI-R10, AI-R12, AI-R14, AI-R15, AI-R18, AI-R19, AI-R27, AI-R28, AI-R55</t>
  </si>
  <si>
    <t xml:space="preserve">US1</t>
  </si>
  <si>
    <t xml:space="preserve">Federal AI legislation</t>
  </si>
  <si>
    <t xml:space="preserve">US Regulatory Crosswalk</t>
  </si>
  <si>
    <t xml:space="preserve">US2</t>
  </si>
  <si>
    <t xml:space="preserve">Executive Order 14365 (Dec 2025)</t>
  </si>
  <si>
    <t xml:space="preserve">US3</t>
  </si>
  <si>
    <t xml:space="preserve">Executive Order 14409 (2 Jun 2026) and NSPM-11 (5 Jun 2026)</t>
  </si>
  <si>
    <t xml:space="preserve">US4</t>
  </si>
  <si>
    <t xml:space="preserve">NIST AI Risk Management Framework 1.0</t>
  </si>
  <si>
    <t xml:space="preserve">US5</t>
  </si>
  <si>
    <t xml:space="preserve">Colorado: SB 24-205 repealed and reenacted by SB 26-189 (signed 14 May 2026)</t>
  </si>
  <si>
    <t xml:space="preserve">AI-CTRL-013, AI-CTRL-037, AI-CTRL-041</t>
  </si>
  <si>
    <t xml:space="preserve">AI-R02, AI-R03, AI-R10, AI-R12, AI-R14, AI-R15, AI-R18, AI-R27, AI-R28, AI-R55</t>
  </si>
  <si>
    <t xml:space="preserve">US6</t>
  </si>
  <si>
    <t xml:space="preserve">California: SB 53 frontier AI transparency; AB 2013 training data transparency</t>
  </si>
  <si>
    <t xml:space="preserve">AI-CTRL-011, AI-CTRL-029, AI-CTRL-038</t>
  </si>
  <si>
    <t xml:space="preserve">AI-R02, AI-R08, AI-R09, AI-R15, AI-R18, AI-R28</t>
  </si>
  <si>
    <t xml:space="preserve">US7</t>
  </si>
  <si>
    <t xml:space="preserve">California AI Transparency Act (SB 942 as amended)</t>
  </si>
  <si>
    <t xml:space="preserve">US8</t>
  </si>
  <si>
    <t xml:space="preserve">California CCPA regulations on ADMT, risk assessments and cybersecurity audits</t>
  </si>
  <si>
    <t xml:space="preserve">AI-CTRL-013, AI-CTRL-023, AI-CTRL-037, AI-CTRL-041</t>
  </si>
  <si>
    <t xml:space="preserve">AI-R02, AI-R03, AI-R07, AI-R10, AI-R12, AI-R14, AI-R15, AI-R18, AI-R19, AI-R27, AI-R28, AI-R55</t>
  </si>
  <si>
    <t xml:space="preserve">US9</t>
  </si>
  <si>
    <t xml:space="preserve">Texas TRAIGA (HB 149)</t>
  </si>
  <si>
    <t xml:space="preserve">AI-CTRL-012, AI-CTRL-013</t>
  </si>
  <si>
    <t xml:space="preserve">AI-R02, AI-R03, AI-R10, AI-R18, AI-R19, AI-R27, AI-R28</t>
  </si>
  <si>
    <t xml:space="preserve">US10</t>
  </si>
  <si>
    <t xml:space="preserve">Illinois HB 3773</t>
  </si>
  <si>
    <t xml:space="preserve">AI-CTRL-023, AI-CTRL-041</t>
  </si>
  <si>
    <t xml:space="preserve">AI-R07, AI-R12, AI-R14, AI-R15, AI-R19</t>
  </si>
  <si>
    <t xml:space="preserve">US11</t>
  </si>
  <si>
    <t xml:space="preserve">NYC Local Law 144; NY RAISE Act; Utah SB 149 as amended by SB 226 (2025)</t>
  </si>
  <si>
    <t xml:space="preserve">US12</t>
  </si>
  <si>
    <t xml:space="preserve">FTC Act s.5; EEOC and anti-discrimination law; ECOA adverse action; HIPAA; FDA for medical AI; bank model risk guidance (SR 26-2 and OCC Bulletin 2026-13, which replaced SR 11-7 on 17 Apr 2026)</t>
  </si>
  <si>
    <t xml:space="preserve">AI-CTRL-012, AI-CTRL-037, AI-CTRL-041</t>
  </si>
  <si>
    <t xml:space="preserve">AI-R02, AI-R03, AI-R12, AI-R14, AI-R15, AI-R18, AI-R19, AI-R27, AI-R28, AI-R55</t>
  </si>
  <si>
    <t xml:space="preserve">US13</t>
  </si>
  <si>
    <t xml:space="preserve">State legislative volume</t>
  </si>
  <si>
    <t xml:space="preserve">US14</t>
  </si>
  <si>
    <t xml:space="preserve">FTC enforcement and business guidance on AI under FTC Act s.5</t>
  </si>
  <si>
    <t xml:space="preserve">AI-CTRL-012, AI-CTRL-029, AI-CTRL-038, AI-CTRL-039</t>
  </si>
  <si>
    <t xml:space="preserve">AI-R02, AI-R03, AI-R08, AI-R09, AI-R12, AI-R14, AI-R15, AI-R18, AI-R19, AI-R20, AI-R27, AI-R28</t>
  </si>
  <si>
    <t xml:space="preserve">US15</t>
  </si>
  <si>
    <t xml:space="preserve">NAIC Principles on Artificial Intelligence (2020) and Model Bulletin on the Use of Artificial Intelligence Systems by Insurers (adopted Dec 2023)</t>
  </si>
  <si>
    <t xml:space="preserve">AI-CTRL-012, AI-CTRL-014, AI-CTRL-037, AI-CTRL-038, AI-CTRL-041</t>
  </si>
  <si>
    <t xml:space="preserve">AI-R02, AI-R03, AI-R08, AI-R09, AI-R10, AI-R12, AI-R14, AI-R15, AI-R16, AI-R18, AI-R19, AI-R27, AI-R28, AI-R55</t>
  </si>
  <si>
    <t xml:space="preserve">US16</t>
  </si>
  <si>
    <t xml:space="preserve">Colorado SB 21-169 (C.R.S. 10-3-1104.9) and Division of Insurance rules under it</t>
  </si>
  <si>
    <t xml:space="preserve">AI-CTRL-014, AI-CTRL-029, AI-CTRL-037, AI-CTRL-041</t>
  </si>
  <si>
    <t xml:space="preserve">AI-R02, AI-R08, AI-R10, AI-R12, AI-R14, AI-R15, AI-R16, AI-R18, AI-R28, AI-R55</t>
  </si>
  <si>
    <t xml:space="preserve">US17</t>
  </si>
  <si>
    <t xml:space="preserve">HIPAA Privacy, Security and Breach Notification Rules (45 CFR Parts 160 and 164)</t>
  </si>
  <si>
    <t xml:space="preserve">AI-CTRL-013, AI-CTRL-014, AI-CTRL-017, AI-CTRL-035</t>
  </si>
  <si>
    <t xml:space="preserve">AI-R01, AI-R03, AI-R06, AI-R08, AI-R09, AI-R10, AI-R16, AI-R17, AI-R20, AI-R27, AI-R28</t>
  </si>
  <si>
    <t xml:space="preserve">AU1</t>
  </si>
  <si>
    <t xml:space="preserve">National AI Plan (Dec 2025)</t>
  </si>
  <si>
    <t xml:space="preserve">Australia Regulatory Crosswalk</t>
  </si>
  <si>
    <t xml:space="preserve">AU2</t>
  </si>
  <si>
    <t xml:space="preserve">Privacy Act automated decision transparency (APP 1.7 to 1.9)</t>
  </si>
  <si>
    <t xml:space="preserve">AU3</t>
  </si>
  <si>
    <t xml:space="preserve">OAIC privacy policy compliance sweep</t>
  </si>
  <si>
    <t xml:space="preserve">AI-CTRL-013, AI-CTRL-035</t>
  </si>
  <si>
    <t xml:space="preserve">AI-R03, AI-R09, AI-R10, AI-R20, AI-R27, AI-R28</t>
  </si>
  <si>
    <t xml:space="preserve">AU3a</t>
  </si>
  <si>
    <t xml:space="preserve">Privacy Act civil penalty tiers</t>
  </si>
  <si>
    <t xml:space="preserve">AU4</t>
  </si>
  <si>
    <t xml:space="preserve">Guidance for AI Adoption (National AI Centre, 21 Oct 2025; replaces the Voluntary AI Safety Standard)</t>
  </si>
  <si>
    <t xml:space="preserve">AU5</t>
  </si>
  <si>
    <t xml:space="preserve">AI Safety Institute (early 2026; AUD 29.9M)</t>
  </si>
  <si>
    <t xml:space="preserve">AU6</t>
  </si>
  <si>
    <t xml:space="preserve">Further deepfake and "nudify" app restrictions; Victoria considering</t>
  </si>
  <si>
    <t xml:space="preserve">AU6a</t>
  </si>
  <si>
    <t xml:space="preserve">NSW Work Health and Safety Amendment (Digital Work Systems) Act 2026 (No. 5 of 2026)</t>
  </si>
  <si>
    <t xml:space="preserve">AU7</t>
  </si>
  <si>
    <t xml:space="preserve">Australian Consumer Law</t>
  </si>
  <si>
    <t xml:space="preserve">AU8</t>
  </si>
  <si>
    <t xml:space="preserve">APRA CPS 230 and CPS 234</t>
  </si>
  <si>
    <t xml:space="preserve">AI-CTRL-005, AI-CTRL-014, AI-CTRL-035</t>
  </si>
  <si>
    <t xml:space="preserve">AI-R05, AI-R06, AI-R08, AI-R09, AI-R10, AI-R16, AI-R20, AI-R24</t>
  </si>
  <si>
    <t xml:space="preserve">BR1</t>
  </si>
  <si>
    <t xml:space="preserve">PL 2338/2023 (AI bill)</t>
  </si>
  <si>
    <t xml:space="preserve">AI-CTRL-011, AI-CTRL-037, AI-CTRL-041</t>
  </si>
  <si>
    <t xml:space="preserve">AI-R02, AI-R12, AI-R14, AI-R15, AI-R18, AI-R28, AI-R55</t>
  </si>
  <si>
    <t xml:space="preserve">Brazil Regulatory Crosswalk</t>
  </si>
  <si>
    <t xml:space="preserve">BR2</t>
  </si>
  <si>
    <t xml:space="preserve">LGPD (Law 13.709/2018)</t>
  </si>
  <si>
    <t xml:space="preserve">BR3</t>
  </si>
  <si>
    <t xml:space="preserve">ANPD and sector regulators advancing AI regulation</t>
  </si>
  <si>
    <t xml:space="preserve">BR4</t>
  </si>
  <si>
    <t xml:space="preserve">Consumer Defence Code and sector rules (finance, health)</t>
  </si>
  <si>
    <t xml:space="preserve">AI-CTRL-014, AI-CTRL-039</t>
  </si>
  <si>
    <t xml:space="preserve">AI-R08, AI-R10, AI-R12, AI-R14, AI-R16, AI-R20</t>
  </si>
  <si>
    <t xml:space="preserve">CA1</t>
  </si>
  <si>
    <t xml:space="preserve">Artificial Intelligence and Data Act (Bill C-27)</t>
  </si>
  <si>
    <t xml:space="preserve">Canada Regulatory Crosswalk</t>
  </si>
  <si>
    <t xml:space="preserve">CA2</t>
  </si>
  <si>
    <t xml:space="preserve">PIPEDA</t>
  </si>
  <si>
    <t xml:space="preserve">AI-CTRL-007, AI-CTRL-013, AI-CTRL-035</t>
  </si>
  <si>
    <t xml:space="preserve">CA3</t>
  </si>
  <si>
    <t xml:space="preserve">Quebec Law 25</t>
  </si>
  <si>
    <t xml:space="preserve">CA4</t>
  </si>
  <si>
    <t xml:space="preserve">Treasury Board Directive on Automated Decision-Making; Algorithmic Impact Assessment</t>
  </si>
  <si>
    <t xml:space="preserve">AI-CTRL-011, AI-CTRL-037, AI-CTRL-039</t>
  </si>
  <si>
    <t xml:space="preserve">AI-R02, AI-R12, AI-R14, AI-R18, AI-R20, AI-R28, AI-R55</t>
  </si>
  <si>
    <t xml:space="preserve">CA5</t>
  </si>
  <si>
    <t xml:space="preserve">Voluntary Code of Conduct on generative AI (ISED)</t>
  </si>
  <si>
    <t xml:space="preserve">AI-CTRL-012, AI-CTRL-039</t>
  </si>
  <si>
    <t xml:space="preserve">AI-R02, AI-R03, AI-R12, AI-R14, AI-R18, AI-R19, AI-R20, AI-R27, AI-R28</t>
  </si>
  <si>
    <t xml:space="preserve">CA6</t>
  </si>
  <si>
    <t xml:space="preserve">OSFI Guideline E-23</t>
  </si>
  <si>
    <t xml:space="preserve">CA7</t>
  </si>
  <si>
    <t xml:space="preserve">Bills C-34 (digital safety incl. AI chatbots) and C-36 (privacy reform)</t>
  </si>
  <si>
    <t xml:space="preserve">AI-CTRL-013, AI-CTRL-039</t>
  </si>
  <si>
    <t xml:space="preserve">AI-R03, AI-R10, AI-R12, AI-R14, AI-R20, AI-R27, AI-R28</t>
  </si>
  <si>
    <t xml:space="preserve">CA8</t>
  </si>
  <si>
    <t xml:space="preserve">Provincial public-sector AI rules (Ontario: Enhancing Digital Security and Trust Act, 2024; Responsible Use of AI Directive)</t>
  </si>
  <si>
    <t xml:space="preserve">CN1</t>
  </si>
  <si>
    <t xml:space="preserve">Interim Measures for the Management of Generative AI Services (2023)</t>
  </si>
  <si>
    <t xml:space="preserve">AI-CTRL-012, AI-CTRL-013, AI-CTRL-039</t>
  </si>
  <si>
    <t xml:space="preserve">AI-R02, AI-R03, AI-R10, AI-R12, AI-R14, AI-R18, AI-R19, AI-R20, AI-R27, AI-R28</t>
  </si>
  <si>
    <t xml:space="preserve">China Regulatory Crosswalk</t>
  </si>
  <si>
    <t xml:space="preserve">CN2</t>
  </si>
  <si>
    <t xml:space="preserve">Provisions on Algorithm Recommendation (2022)</t>
  </si>
  <si>
    <t xml:space="preserve">AI-CTRL-011, AI-CTRL-013, AI-CTRL-039</t>
  </si>
  <si>
    <t xml:space="preserve">AI-R02, AI-R03, AI-R10, AI-R12, AI-R14, AI-R18, AI-R20, AI-R27, AI-R28</t>
  </si>
  <si>
    <t xml:space="preserve">CN3</t>
  </si>
  <si>
    <t xml:space="preserve">Provisions on Deep Synthesis (2023)</t>
  </si>
  <si>
    <t xml:space="preserve">CN4</t>
  </si>
  <si>
    <t xml:space="preserve">Measures for labelling AI-generated content; mandatory standard GB 45438-2025</t>
  </si>
  <si>
    <t xml:space="preserve">CN5</t>
  </si>
  <si>
    <r>
      <rPr>
        <sz val="10"/>
        <rFont val="Arial"/>
        <family val="0"/>
        <charset val="1"/>
      </rPr>
      <t xml:space="preserve">Measures for AI Science and Technology Ethics Review and Services (Trial) (</t>
    </r>
    <r>
      <rPr>
        <sz val="10"/>
        <rFont val="WenQuanYi Zen Hei"/>
        <family val="2"/>
      </rPr>
      <t xml:space="preserve">人工智能科技伦理审查与服务办法（试行）</t>
    </r>
    <r>
      <rPr>
        <sz val="10"/>
        <rFont val="Arial"/>
        <family val="0"/>
        <charset val="1"/>
      </rPr>
      <t xml:space="preserve">, MIIT and nine other bodies)</t>
    </r>
  </si>
  <si>
    <t xml:space="preserve">CN6</t>
  </si>
  <si>
    <r>
      <rPr>
        <sz val="10"/>
        <rFont val="Arial"/>
        <family val="0"/>
        <charset val="1"/>
      </rPr>
      <t xml:space="preserve">Interim Measures for the Administration of Anthropomorphic AI Interactive Services (</t>
    </r>
    <r>
      <rPr>
        <sz val="10"/>
        <rFont val="WenQuanYi Zen Hei"/>
        <family val="2"/>
      </rPr>
      <t xml:space="preserve">人工智能拟人化互动服务管理暂行办法</t>
    </r>
    <r>
      <rPr>
        <sz val="10"/>
        <rFont val="Arial"/>
        <family val="0"/>
        <charset val="1"/>
      </rPr>
      <t xml:space="preserve">, CAC Order No. 21)</t>
    </r>
  </si>
  <si>
    <t xml:space="preserve">AI-CTRL-023, AI-CTRL-039</t>
  </si>
  <si>
    <t xml:space="preserve">AI-R07, AI-R12, AI-R14, AI-R19, AI-R20</t>
  </si>
  <si>
    <t xml:space="preserve">CN7</t>
  </si>
  <si>
    <t xml:space="preserve">Cybersecurity Law (2025 amendment with AI provisions); Data Security Law; PIPL</t>
  </si>
  <si>
    <t xml:space="preserve">AI-CTRL-005, AI-CTRL-007, AI-CTRL-013, AI-CTRL-035</t>
  </si>
  <si>
    <t xml:space="preserve">AI-R03, AI-R05, AI-R06, AI-R09, AI-R10, AI-R20, AI-R24, AI-R27, AI-R28</t>
  </si>
  <si>
    <t xml:space="preserve">CN8</t>
  </si>
  <si>
    <t xml:space="preserve">Comprehensive AI law</t>
  </si>
  <si>
    <t xml:space="preserve">CN9</t>
  </si>
  <si>
    <t xml:space="preserve">Regulators: CAC, MIIT, SAMR, MPS</t>
  </si>
  <si>
    <t xml:space="preserve">IN1</t>
  </si>
  <si>
    <t xml:space="preserve">Digital Personal Data Protection Act 2023</t>
  </si>
  <si>
    <t xml:space="preserve">India Regulatory Crosswalk</t>
  </si>
  <si>
    <t xml:space="preserve">IN2</t>
  </si>
  <si>
    <t xml:space="preserve">DPDP Rules 2025</t>
  </si>
  <si>
    <t xml:space="preserve">IN3</t>
  </si>
  <si>
    <t xml:space="preserve">Data Protection Board of India</t>
  </si>
  <si>
    <t xml:space="preserve">IN4</t>
  </si>
  <si>
    <t xml:space="preserve">India AI Governance Guidelines (MeitY)</t>
  </si>
  <si>
    <t xml:space="preserve">IN5</t>
  </si>
  <si>
    <t xml:space="preserve">RBI FREE-AI Committee report</t>
  </si>
  <si>
    <t xml:space="preserve">AI-CTRL-011, AI-CTRL-014, AI-CTRL-023, AI-CTRL-037, AI-CTRL-041</t>
  </si>
  <si>
    <t xml:space="preserve">AI-R02, AI-R07, AI-R08, AI-R10, AI-R12, AI-R14, AI-R15, AI-R16, AI-R18, AI-R19, AI-R28, AI-R55</t>
  </si>
  <si>
    <t xml:space="preserve">IN6</t>
  </si>
  <si>
    <t xml:space="preserve">RBI draft Guidance on Model Risk Management</t>
  </si>
  <si>
    <t xml:space="preserve">AI-CTRL-011, AI-CTRL-025, AI-CTRL-037, AI-CTRL-038, AI-CTRL-045</t>
  </si>
  <si>
    <t xml:space="preserve">AI-R02, AI-R07, AI-R09, AI-R11, AI-R12, AI-R14, AI-R15, AI-R18, AI-R19, AI-R21, AI-R25, AI-R28, AI-R55</t>
  </si>
  <si>
    <t xml:space="preserve">IN7</t>
  </si>
  <si>
    <t xml:space="preserve">SEBI regulations on AI and ML tools used by regulated entities</t>
  </si>
  <si>
    <t xml:space="preserve">AI-CTRL-011, AI-CTRL-014, AI-CTRL-038</t>
  </si>
  <si>
    <t xml:space="preserve">AI-R02, AI-R08, AI-R09, AI-R10, AI-R15, AI-R16, AI-R18, AI-R28</t>
  </si>
  <si>
    <t xml:space="preserve">IN8</t>
  </si>
  <si>
    <t xml:space="preserve">IRDAI: AI-cybersecurity readiness directive (May 2026); AI working group (Jun 2026)</t>
  </si>
  <si>
    <t xml:space="preserve">AI-CTRL-005, AI-CTRL-011</t>
  </si>
  <si>
    <t xml:space="preserve">AI-R02, AI-R05, AI-R06, AI-R18, AI-R24</t>
  </si>
  <si>
    <t xml:space="preserve">IN9</t>
  </si>
  <si>
    <t xml:space="preserve">IT Rules amendments on synthetic content labelling</t>
  </si>
  <si>
    <t xml:space="preserve">IN10</t>
  </si>
  <si>
    <t xml:space="preserve">CERT-In incident reporting directions (2022) and AI guidance</t>
  </si>
  <si>
    <t xml:space="preserve">IN11</t>
  </si>
  <si>
    <t xml:space="preserve">IT Act 2000 and SPDI Rules</t>
  </si>
  <si>
    <t xml:space="preserve">AI-CTRL-005, AI-CTRL-013</t>
  </si>
  <si>
    <t xml:space="preserve">AI-R03, AI-R05, AI-R06, AI-R10, AI-R24, AI-R27, AI-R28</t>
  </si>
  <si>
    <t xml:space="preserve">IN12</t>
  </si>
  <si>
    <t xml:space="preserve">IndiaAI Mission</t>
  </si>
  <si>
    <t xml:space="preserve">IN13</t>
  </si>
  <si>
    <t xml:space="preserve">SEBI guidelines on responsible use of AI and ML in securities markets</t>
  </si>
  <si>
    <t xml:space="preserve">AI-CTRL-011, AI-CTRL-012, AI-CTRL-014, AI-CTRL-025, AI-CTRL-045</t>
  </si>
  <si>
    <t xml:space="preserve">AI-R02, AI-R03, AI-R07, AI-R08, AI-R10, AI-R11, AI-R12, AI-R14, AI-R16, AI-R18, AI-R19, AI-R21, AI-R25, AI-R27, AI-R28, AI-R55</t>
  </si>
  <si>
    <t xml:space="preserve">JP1</t>
  </si>
  <si>
    <t xml:space="preserve">AI Promotion Act (Act No. 53 of 2025)</t>
  </si>
  <si>
    <t xml:space="preserve">Japan Regulatory Crosswalk</t>
  </si>
  <si>
    <t xml:space="preserve">JP2</t>
  </si>
  <si>
    <t xml:space="preserve">AI Basic Plan</t>
  </si>
  <si>
    <t xml:space="preserve">JP3</t>
  </si>
  <si>
    <t xml:space="preserve">Guidelines for AI Business (MIC and METI), version 1.2 (31 Mar 2026)</t>
  </si>
  <si>
    <t xml:space="preserve">AI-CTRL-012, AI-CTRL-037, AI-CTRL-039, AI-CTRL-041</t>
  </si>
  <si>
    <t xml:space="preserve">AI-R02, AI-R03, AI-R12, AI-R14, AI-R15, AI-R18, AI-R19, AI-R20, AI-R27, AI-R28, AI-R55</t>
  </si>
  <si>
    <t xml:space="preserve">JP4</t>
  </si>
  <si>
    <t xml:space="preserve">Act on the Protection of Personal Information (APPI)</t>
  </si>
  <si>
    <t xml:space="preserve">JP5</t>
  </si>
  <si>
    <t xml:space="preserve">Copyright Act Art. 30-4 (information analysis exception)</t>
  </si>
  <si>
    <t xml:space="preserve">JP6</t>
  </si>
  <si>
    <t xml:space="preserve">Sector rules (financial, medical devices, others)</t>
  </si>
  <si>
    <t xml:space="preserve">AI-CTRL-014, AI-CTRL-037</t>
  </si>
  <si>
    <t xml:space="preserve">AI-R02, AI-R08, AI-R10, AI-R16, AI-R18, AI-R28, AI-R55</t>
  </si>
  <si>
    <t xml:space="preserve">MAS 1.5, 3.6</t>
  </si>
  <si>
    <t xml:space="preserve">Local senior management stays accountable where a group framework is used</t>
  </si>
  <si>
    <t xml:space="preserve">Singapore Regulatory Crosswalk</t>
  </si>
  <si>
    <t xml:space="preserve">MAS 1.6, 2.1 to 2.2</t>
  </si>
  <si>
    <t xml:space="preserve">Apply the Guidelines in proportion to the institution's size and activities and to the risk materiality of each AI use case</t>
  </si>
  <si>
    <t xml:space="preserve">MAS 2.3 to 2.5</t>
  </si>
  <si>
    <t xml:space="preserve">Basic governance where an AI failure is unlikely to have a material impact: a named senior manager, permitted and prohibited uses, human review of outputs, an approved list of AI tools, staff education, compliance checks and periodic review</t>
  </si>
  <si>
    <t xml:space="preserve">AI-CTRL-001, AI-CTRL-010, AI-CTRL-012, AI-CTRL-044</t>
  </si>
  <si>
    <t xml:space="preserve">MAS 3.1 to 3.4</t>
  </si>
  <si>
    <t xml:space="preserve">The board approves and reviews the governance approach for AI risk, addresses AI in the risk appetite framework and understands AI well enough to challenge</t>
  </si>
  <si>
    <t xml:space="preserve">MAS 3.5</t>
  </si>
  <si>
    <t xml:space="preserve">Senior management implements the framework, assigns roles across business lines and control functions, escalates AI incidents and threshold breaches, and resources AI risk management</t>
  </si>
  <si>
    <t xml:space="preserve">AI-CTRL-012, AI-CTRL-035, AI-CTRL-044</t>
  </si>
  <si>
    <t xml:space="preserve">AI-R02, AI-R03, AI-R09, AI-R18, AI-R19, AI-R20, AI-R27, AI-R28</t>
  </si>
  <si>
    <t xml:space="preserve">MAS 4.2 to 4.4</t>
  </si>
  <si>
    <t xml:space="preserve">Identify AI use consistently across the institution, including AI inside third-party services and shadow AI, under a designated control function</t>
  </si>
  <si>
    <t xml:space="preserve">MAS 4.5 to 4.9</t>
  </si>
  <si>
    <t xml:space="preserve">Keep an accurate AI inventory with key attributes, linked to other inventories, with agent-specific attributes where relevant</t>
  </si>
  <si>
    <t xml:space="preserve">MAS 4.10 to 4.13</t>
  </si>
  <si>
    <t xml:space="preserve">Assess the risk materiality of each use case on impact, complexity and reliance, before and after controls, with a control function approving the rating</t>
  </si>
  <si>
    <t xml:space="preserve">MAS 5.3</t>
  </si>
  <si>
    <t xml:space="preserve">Contingency plans and fallback for high-risk use cases, and tested activation of kill switches</t>
  </si>
  <si>
    <t xml:space="preserve">AI-CTRL-025, AI-CTRL-040</t>
  </si>
  <si>
    <t xml:space="preserve">MAS 5.4</t>
  </si>
  <si>
    <t xml:space="preserve">Data management: fitness for purpose, representativeness, quality, classification, security, privacy, and auditability and lineage</t>
  </si>
  <si>
    <t xml:space="preserve">MAS 5.5 to 5.6</t>
  </si>
  <si>
    <t xml:space="preserve">Transparency and explainability matched to the use case and its audience, with customer notice and redress for high-impact decisions</t>
  </si>
  <si>
    <t xml:space="preserve">MAS 5.7 to 5.8</t>
  </si>
  <si>
    <t xml:space="preserve">Define fair outcomes, run fairness assessments that consider protected attributes and their proxies, and document mitigation</t>
  </si>
  <si>
    <t xml:space="preserve">MAS 5.9</t>
  </si>
  <si>
    <t xml:space="preserve">Human oversight: assigned roles, competent overseers with authority to intervene, design that supports oversight, and review of interventions and near misses</t>
  </si>
  <si>
    <t xml:space="preserve">MAS 5.10 to 5.11</t>
  </si>
  <si>
    <t xml:space="preserve">Third-party AI: test it in the institution's own context, secure contractual visibility of changes, assess the supply chain and concentration risk, plan for failure and keep a right to audit</t>
  </si>
  <si>
    <t xml:space="preserve">AI-R08, AI-R10, AI-R13, AI-R16, AI-R23</t>
  </si>
  <si>
    <t xml:space="preserve">MAS 5.12 to 5.13</t>
  </si>
  <si>
    <t xml:space="preserve">Document why an AI system, model or feature was selected over simpler alternatives</t>
  </si>
  <si>
    <t xml:space="preserve">MAS 5.14 to 5.15</t>
  </si>
  <si>
    <t xml:space="preserve">Evaluation and testing against measurable thresholds, including stress, adversarial and sub-population tests; guardrails for known limitations; failure modes of generative AI and AI agents</t>
  </si>
  <si>
    <t xml:space="preserve">AI-CTRL-034, AI-CTRL-039, AI-CTRL-041</t>
  </si>
  <si>
    <t xml:space="preserve">AI-R05, AI-R07, AI-R12, AI-R14, AI-R15, AI-R16, AI-R17, AI-R20</t>
  </si>
  <si>
    <t xml:space="preserve">MAS 5.16</t>
  </si>
  <si>
    <t xml:space="preserve">Technology and cybersecurity controls: secured environments, access control and separation of duties, and governance of third-party components</t>
  </si>
  <si>
    <t xml:space="preserve">AI-CTRL-005, AI-CTRL-016, AI-CTRL-024, AI-CTRL-032</t>
  </si>
  <si>
    <t xml:space="preserve">AI-R05, AI-R06, AI-R07, AI-R08, AI-R10, AI-R22, AI-R23, AI-R24</t>
  </si>
  <si>
    <t xml:space="preserve">MAS 5.17</t>
  </si>
  <si>
    <t xml:space="preserve">Document development so that an independent party can understand and reproduce it</t>
  </si>
  <si>
    <t xml:space="preserve">AI-CTRL-030, AI-CTRL-038</t>
  </si>
  <si>
    <t xml:space="preserve">AI-R08, AI-R09, AI-R15, AI-R28</t>
  </si>
  <si>
    <t xml:space="preserve">MAS 5.18 to 5.21</t>
  </si>
  <si>
    <t xml:space="preserve">Review before deployment by people not involved in development, formal independent validation for high-risk use cases, and findings reported to the approval body</t>
  </si>
  <si>
    <t xml:space="preserve">AI-CTRL-033, AI-CTRL-038</t>
  </si>
  <si>
    <t xml:space="preserve">AI-R05, AI-R07, AI-R08, AI-R09, AI-R14, AI-R15, AI-R16, AI-R28, AI-R55</t>
  </si>
  <si>
    <t xml:space="preserve">MAS 5.22</t>
  </si>
  <si>
    <t xml:space="preserve">Technology and cybersecurity review before go-live: secure design, vulnerability assessment, penetration testing, red teaming and tests against adversarial threats</t>
  </si>
  <si>
    <t xml:space="preserve">AI-CTRL-032, AI-CTRL-033, AI-CTRL-034</t>
  </si>
  <si>
    <t xml:space="preserve">AI-R05, AI-R07, AI-R08, AI-R10, AI-R14, AI-R16, AI-R17, AI-R20, AI-R55</t>
  </si>
  <si>
    <t xml:space="preserve">MAS 5.23</t>
  </si>
  <si>
    <t xml:space="preserve">Ongoing monitoring with metrics and thresholds, drift checks, AI incident and issue management, user feedback, and logging of prompts and responses for generative AI and agents</t>
  </si>
  <si>
    <t xml:space="preserve">AI-CTRL-008, AI-CTRL-009, AI-CTRL-035</t>
  </si>
  <si>
    <t xml:space="preserve">MAS 5.24</t>
  </si>
  <si>
    <t xml:space="preserve">Re-validation and review, regular for high-risk use cases and when triggered by changes, alerts or new risks</t>
  </si>
  <si>
    <t xml:space="preserve">MAS 5.25</t>
  </si>
  <si>
    <t xml:space="preserve">Change management: a way to judge how significant a change is, re-approval, version control with rollback, and tighter controls for automatic updates</t>
  </si>
  <si>
    <t xml:space="preserve">MAS 5.26</t>
  </si>
  <si>
    <t xml:space="preserve">Retirement and decommissioning of AI</t>
  </si>
  <si>
    <t xml:space="preserve">AI-CTRL-011, AI-CTRL-028</t>
  </si>
  <si>
    <t xml:space="preserve">MAS 6.1 to 6.2</t>
  </si>
  <si>
    <t xml:space="preserve">Competence and conduct of the people who develop, deploy and use AI, with regular review of capability and capacity</t>
  </si>
  <si>
    <t xml:space="preserve">MAS 6.3</t>
  </si>
  <si>
    <t xml:space="preserve">Technology infrastructure adequate for performance, scalability and resilience</t>
  </si>
  <si>
    <t xml:space="preserve">AI-CTRL-032, AI-CTRL-040</t>
  </si>
  <si>
    <t xml:space="preserve">AI-R08, AI-R10, AI-R13, AI-R16</t>
  </si>
  <si>
    <t xml:space="preserve">SG1</t>
  </si>
  <si>
    <t xml:space="preserve">Model AI Governance Framework (2019; second edition 21 Jan 2020) and Model AI Governance Framework for Generative AI (30 May 2024)</t>
  </si>
  <si>
    <t xml:space="preserve">AI-CTRL-012, AI-CTRL-037, AI-CTRL-039</t>
  </si>
  <si>
    <t xml:space="preserve">AI-R02, AI-R03, AI-R12, AI-R14, AI-R18, AI-R19, AI-R20, AI-R27, AI-R28, AI-R55</t>
  </si>
  <si>
    <t xml:space="preserve">SG2</t>
  </si>
  <si>
    <t xml:space="preserve">Model AI Governance Framework for Agentic AI (IMDA, 22 Jan 2026; updated 20 May 2026)</t>
  </si>
  <si>
    <t xml:space="preserve">AI-CTRL-005, AI-CTRL-023, AI-CTRL-025, AI-CTRL-037</t>
  </si>
  <si>
    <t xml:space="preserve">AI-R02, AI-R05, AI-R06, AI-R07, AI-R11, AI-R18, AI-R19, AI-R21, AI-R24, AI-R25, AI-R28, AI-R55</t>
  </si>
  <si>
    <t xml:space="preserve">SG3</t>
  </si>
  <si>
    <t xml:space="preserve">AI Verify testing framework and toolkit; Global AI Assurance Pilot (Feb 2025)</t>
  </si>
  <si>
    <t xml:space="preserve">AI-CTRL-038, AI-CTRL-039</t>
  </si>
  <si>
    <t xml:space="preserve">AI-R09, AI-R12, AI-R14, AI-R15, AI-R20, AI-R28</t>
  </si>
  <si>
    <t xml:space="preserve">SG4</t>
  </si>
  <si>
    <t xml:space="preserve">PDPA; PDPC Advisory Guidelines on use of Personal Data in AI Recommendation and Decision Systems, and on use of Personal Data in Generative AI</t>
  </si>
  <si>
    <t xml:space="preserve">SG5</t>
  </si>
  <si>
    <t xml:space="preserve">MAS Guidelines on Artificial Intelligence Risk Management (7 Oct 2026)</t>
  </si>
  <si>
    <t xml:space="preserve">AI-CTRL-001, AI-CTRL-005, AI-CTRL-006, AI-CTRL-008, AI-CTRL-009, AI-CTRL-010, AI-CTRL-011, AI-CTRL-012, AI-CTRL-013, AI-CTRL-014, AI-CTRL-016, AI-CTRL-017, AI-CTRL-023, AI-CTRL-024, AI-CTRL-025, AI-CTRL-028, AI-CTRL-029, AI-CTRL-030, AI-CTRL-031, AI-CTRL-032, AI-CTRL-033, AI-CTRL-034, AI-CTRL-035, AI-CTRL-037, AI-CTRL-038, AI-CTRL-039, AI-CTRL-040, AI-CTRL-041, AI-CTRL-044, AI-CTRL-045</t>
  </si>
  <si>
    <t xml:space="preserve">AI-R01, AI-R02, AI-R03, AI-R05, AI-R06, AI-R07, AI-R08, AI-R09, AI-R10, AI-R11, AI-R12, AI-R13, AI-R14, AI-R15, AI-R16, AI-R17, AI-R18, AI-R19, AI-R20, AI-R21, AI-R22, AI-R23, AI-R24, AI-R25, AI-R26, AI-R27, AI-R28, AI-R55</t>
  </si>
  <si>
    <t xml:space="preserve">SG6</t>
  </si>
  <si>
    <t xml:space="preserve">MAS FEAT principles and Veritas</t>
  </si>
  <si>
    <t xml:space="preserve">SG7</t>
  </si>
  <si>
    <t xml:space="preserve">CSA Guidelines and Companion Guide on Securing AI Systems (2024) and agentic addendum (17 Jun 2026)</t>
  </si>
  <si>
    <t xml:space="preserve">AI-CTRL-005, AI-CTRL-008, AI-CTRL-025</t>
  </si>
  <si>
    <t xml:space="preserve">AI-R05, AI-R06, AI-R07, AI-R09, AI-R11, AI-R15, AI-R21, AI-R24, AI-R25, AI-R26, AI-R55</t>
  </si>
  <si>
    <t xml:space="preserve">SG8</t>
  </si>
  <si>
    <t xml:space="preserve">Cybersecurity Act (critical information infrastructure)</t>
  </si>
  <si>
    <t xml:space="preserve">KR1</t>
  </si>
  <si>
    <t xml:space="preserve">AI Basic Act</t>
  </si>
  <si>
    <t xml:space="preserve">South Korea Regulatory Crosswalk</t>
  </si>
  <si>
    <t xml:space="preserve">KR2</t>
  </si>
  <si>
    <t xml:space="preserve">Generative AI duties</t>
  </si>
  <si>
    <t xml:space="preserve">KR3</t>
  </si>
  <si>
    <t xml:space="preserve">High-impact AI duties</t>
  </si>
  <si>
    <t xml:space="preserve">AI-CTRL-023, AI-CTRL-037, AI-CTRL-041</t>
  </si>
  <si>
    <t xml:space="preserve">AI-R02, AI-R07, AI-R12, AI-R14, AI-R15, AI-R18, AI-R19, AI-R28, AI-R55</t>
  </si>
  <si>
    <t xml:space="preserve">KR4</t>
  </si>
  <si>
    <t xml:space="preserve">High-performance AI (training at 10^26 FLOP or more)</t>
  </si>
  <si>
    <t xml:space="preserve">AI-CTRL-005, AI-CTRL-037</t>
  </si>
  <si>
    <t xml:space="preserve">AI-R02, AI-R05, AI-R06, AI-R18, AI-R24, AI-R28, AI-R55</t>
  </si>
  <si>
    <t xml:space="preserve">KR5</t>
  </si>
  <si>
    <t xml:space="preserve">Domestic representative</t>
  </si>
  <si>
    <t xml:space="preserve">KR6</t>
  </si>
  <si>
    <t xml:space="preserve">Fines and grace period</t>
  </si>
  <si>
    <t xml:space="preserve">KR7</t>
  </si>
  <si>
    <t xml:space="preserve">Personal Information Protection Act and PIPC guidance</t>
  </si>
  <si>
    <t xml:space="preserve">KR8</t>
  </si>
  <si>
    <t xml:space="preserve">AI Basic Act Support Desk</t>
  </si>
  <si>
    <t xml:space="preserve">Accountability for outputs: controls against </t>
  </si>
  <si>
    <t xml:space="preserve">Accountability for outputs: controls against hallucination; stronger review where customers could be materially affected; rules for withholding, referring or blocking outputs</t>
  </si>
  <si>
    <t xml:space="preserve">AI-CTRL-020, AI-CTRL-023, AI-CTRL-039</t>
  </si>
  <si>
    <t xml:space="preserve">AI-R05, AI-R06, AI-R07, AI-R12, AI-R14, AI-R19, AI-R20, AI-R24, AI-R26</t>
  </si>
  <si>
    <t xml:space="preserve">Hong Kong Regulatory Crosswalk</t>
  </si>
  <si>
    <t xml:space="preserve">Board and senior management accountability: t</t>
  </si>
  <si>
    <t xml:space="preserve">Board and senior management accountability: the board approves an AI strategy with the approach and risk appetite; roles across the three lines for approval and monitoring; regular review by senior management</t>
  </si>
  <si>
    <t xml:space="preserve">Ethical use and fair treatment: no unfair bia</t>
  </si>
  <si>
    <t xml:space="preserve">Ethical use and fair treatment: no unfair bias; monitoring and sampling of customer-affecting outputs; clarification, review and redress; tell consumers about AI use and its risks before service; existing disclosure and opt-out expectations continue</t>
  </si>
  <si>
    <t xml:space="preserve">Explainability and transparency: document exp</t>
  </si>
  <si>
    <t xml:space="preserve">Explainability and transparency: document explainability and its limits; inform stakeholders of purpose, functions, limits and the basis of material outcomes; prefer more explainable arrangements</t>
  </si>
  <si>
    <t xml:space="preserve">HK1</t>
  </si>
  <si>
    <t xml:space="preserve">HKMA Supervisory Guidance for Responsible Adoption of Artificial Intelligence (15 Oct 2026)</t>
  </si>
  <si>
    <t xml:space="preserve">AI-CTRL-011, AI-CTRL-012, AI-CTRL-014, AI-CTRL-025, AI-CTRL-037, AI-CTRL-041, AI-CTRL-045</t>
  </si>
  <si>
    <t xml:space="preserve">AI-R02, AI-R03, AI-R07, AI-R08, AI-R10, AI-R11, AI-R12, AI-R14, AI-R15, AI-R16, AI-R18, AI-R19, AI-R21, AI-R25, AI-R27, AI-R28, AI-R55</t>
  </si>
  <si>
    <t xml:space="preserve">HK2</t>
  </si>
  <si>
    <t xml:space="preserve">HKMA High-level Principles on Artificial Intelligence (1 Nov 2019)</t>
  </si>
  <si>
    <t xml:space="preserve">HK3</t>
  </si>
  <si>
    <t xml:space="preserve">HKMA circular: Consumer Protection in respect of Use of Generative Artificial Intelligence (19 Aug 2024)</t>
  </si>
  <si>
    <t xml:space="preserve">AI-CTRL-041, AI-CTRL-045</t>
  </si>
  <si>
    <t xml:space="preserve">AI-R07, AI-R12, AI-R14, AI-R15, AI-R18, AI-R19, AI-R28</t>
  </si>
  <si>
    <t xml:space="preserve">HK4</t>
  </si>
  <si>
    <t xml:space="preserve">HKMA consumer protection circular on big data analytics and AI (5 Nov 2019)</t>
  </si>
  <si>
    <t xml:space="preserve">HK5</t>
  </si>
  <si>
    <t xml:space="preserve">SFC circular to licensed corporations on generative AI language models (12 Nov 2024)</t>
  </si>
  <si>
    <t xml:space="preserve">AI-CTRL-005, AI-CTRL-011, AI-CTRL-012, AI-CTRL-014, AI-CTRL-034</t>
  </si>
  <si>
    <t xml:space="preserve">AI-R02, AI-R03, AI-R05, AI-R06, AI-R07, AI-R08, AI-R10, AI-R16, AI-R17, AI-R18, AI-R19, AI-R20, AI-R24, AI-R27, AI-R28</t>
  </si>
  <si>
    <t xml:space="preserve">HK6</t>
  </si>
  <si>
    <t xml:space="preserve">PCPD Artificial Intelligence: Model Personal Data Protection Framework (11 Jun 2024)</t>
  </si>
  <si>
    <t xml:space="preserve">AI-CTRL-012, AI-CTRL-013, AI-CTRL-045</t>
  </si>
  <si>
    <t xml:space="preserve">AI-R02, AI-R03, AI-R07, AI-R10, AI-R12, AI-R14, AI-R18, AI-R19, AI-R27, AI-R28</t>
  </si>
  <si>
    <t xml:space="preserve">HK7</t>
  </si>
  <si>
    <t xml:space="preserve">Personal Data (Privacy) Ordinance (Cap. 486)</t>
  </si>
  <si>
    <t xml:space="preserve">HK8</t>
  </si>
  <si>
    <t xml:space="preserve">GenA.I. Sandbox++ (HKMA, SFC, Insurance Authority, MPFA; 5 Mar 2026)</t>
  </si>
  <si>
    <t xml:space="preserve">HK9</t>
  </si>
  <si>
    <t xml:space="preserve">HKMA discussion paper on agentic AI governance</t>
  </si>
  <si>
    <t xml:space="preserve">Inventory: an up-to-date inventory of approve</t>
  </si>
  <si>
    <t xml:space="preserve">Inventory: an up-to-date inventory of approved use cases including third-party and embedded AI, with standard attributes; unlisted AI restricted; shadow AI controlled</t>
  </si>
  <si>
    <t xml:space="preserve">Resources and expertise: adequate resources a</t>
  </si>
  <si>
    <t xml:space="preserve">Resources and expertise: adequate resources and capacity; organisation-wide awareness; role-specific training</t>
  </si>
  <si>
    <t xml:space="preserve">Risk management frameworks: data within appro</t>
  </si>
  <si>
    <t xml:space="preserve">Risk management frameworks: data within approved parameters and PDPO compliance, contracts that stop providers training on data without authorisation, masking; third-party due diligence, contracts, monitoring, concentration and exit; layered cyber controls against data poisoning and prompt injection</t>
  </si>
  <si>
    <t xml:space="preserve">AI-CTRL-005, AI-CTRL-013, AI-CTRL-014, AI-CTRL-017, AI-CTRL-029, AI-CTRL-031</t>
  </si>
  <si>
    <t xml:space="preserve">AI-R01, AI-R03, AI-R05, AI-R06, AI-R08, AI-R10, AI-R16, AI-R17, AI-R23, AI-R24, AI-R27, AI-R28</t>
  </si>
  <si>
    <t xml:space="preserve">Risk-commensurate management: materiality and</t>
  </si>
  <si>
    <t xml:space="preserve">Risk-commensurate management: materiality and risk assessment sets the review depth; senior sign-off, independent validation and adversarial testing for material cases; end-to-end testing; tailored monitoring; fallback, recovery and a kill switch or equivalent; auditable records and outcome tracing</t>
  </si>
  <si>
    <t xml:space="preserve">AI-CTRL-008, AI-CTRL-009, AI-CTRL-011, AI-CTRL-025, AI-CTRL-033, AI-CTRL-034, AI-CTRL-037, AI-CTRL-038, AI-CTRL-040</t>
  </si>
  <si>
    <t xml:space="preserve">AI-R02, AI-R05, AI-R07, AI-R08, AI-R09, AI-R11, AI-R13, AI-R14, AI-R15, AI-R16, AI-R17, AI-R18, AI-R20, AI-R21, AI-R25, AI-R26, AI-R28, AI-R55</t>
  </si>
  <si>
    <t xml:space="preserve">Use-case owners and human oversight: a named </t>
  </si>
  <si>
    <t xml:space="preserve">Use-case owners and human oversight: a named owner for each use case; in-the-loop, on-the-loop or in-command oversight with risk-based triggers; reviewers able to challenge, override or stop; oversight tested</t>
  </si>
  <si>
    <t xml:space="preserve">AI-CTRL-011, AI-CTRL-023, AI-CTRL-045</t>
  </si>
  <si>
    <t xml:space="preserve">AI-R02, AI-R07, AI-R12, AI-R14, AI-R18, AI-R19, AI-R28</t>
  </si>
  <si>
    <t xml:space="preserve">Each wiki control against every framework in the crosswalks. A cell lists the framework items linked to that control (directly, or through a risk the control mitigates; see Framework Crosswalk).</t>
  </si>
  <si>
    <t xml:space="preserve">01 Governance and oversight; 07 MLOps and deployment</t>
  </si>
  <si>
    <t xml:space="preserve">GOVERN 1.6; GOVERN 6.1</t>
  </si>
  <si>
    <t xml:space="preserve">A.5.9; A.8.1; A.8.16; A.8.23</t>
  </si>
  <si>
    <t xml:space="preserve">DE.CM; ID.AM</t>
  </si>
  <si>
    <t xml:space="preserve">CIS 1; CIS 2; CIS 9</t>
  </si>
  <si>
    <t xml:space="preserve">CC6.8; CC7.2</t>
  </si>
  <si>
    <t xml:space="preserve">MAS 2.3 to 2.5; MAS 4.2 to 4.4; SG5</t>
  </si>
  <si>
    <t xml:space="preserve">AIR-RC-001; AIR-RC-023</t>
  </si>
  <si>
    <t xml:space="preserve">03 Privacy and consent; 03 Training-data rights and IP; 08 IP and liability</t>
  </si>
  <si>
    <t xml:space="preserve">MANAGE 4.1; MEASURE 2.10</t>
  </si>
  <si>
    <t xml:space="preserve">A.5.12; A.8.1; A.8.11; A.8.12</t>
  </si>
  <si>
    <t xml:space="preserve">DE.CM; PR.DS</t>
  </si>
  <si>
    <t xml:space="preserve">C1.1; CC6.7</t>
  </si>
  <si>
    <t xml:space="preserve">A.5.10; A.5.14; A.8.12</t>
  </si>
  <si>
    <t xml:space="preserve">CIS 3; CIS 9</t>
  </si>
  <si>
    <t xml:space="preserve">AIR-RC-001; AIR-SEC-029</t>
  </si>
  <si>
    <t xml:space="preserve">05 AI access and identity; 05 Supply-chain and artifact integrity; 12 Tool access and authorization</t>
  </si>
  <si>
    <t xml:space="preserve">GOVERN 6.1; MANAGE 4.1; MEASURE 2.10</t>
  </si>
  <si>
    <t xml:space="preserve">LLM02:2025; LLM03:2025</t>
  </si>
  <si>
    <t xml:space="preserve">AML.T0055; AML.T0057</t>
  </si>
  <si>
    <t xml:space="preserve">A.4.4; A.9.2</t>
  </si>
  <si>
    <t xml:space="preserve">A.8.1; A.8.4; A.8.12; A.8.28</t>
  </si>
  <si>
    <t xml:space="preserve">PR.DS; PR.PS</t>
  </si>
  <si>
    <t xml:space="preserve">CIS 3; CIS 16</t>
  </si>
  <si>
    <t xml:space="preserve">CC6.7; CC8.1</t>
  </si>
  <si>
    <t xml:space="preserve">PO.3; PW.5</t>
  </si>
  <si>
    <t xml:space="preserve">AIR-SEC-002; AIR-SEC-010; AIR-SEC-025</t>
  </si>
  <si>
    <t xml:space="preserve">AIR-PREV-003; AIR-PREV-017</t>
  </si>
  <si>
    <t xml:space="preserve">03 Privacy and consent; 05 AI access and identity; 05 Inference-time (input) attacks; 05 Output and integration security</t>
  </si>
  <si>
    <t xml:space="preserve">MANAGE 1.3; MEASURE 2.7</t>
  </si>
  <si>
    <t xml:space="preserve">LLM01:2025; LLM07:2025</t>
  </si>
  <si>
    <t xml:space="preserve">AML.T0051; AML.T0054; AML.T0056; AML.T0068; AML.T0093</t>
  </si>
  <si>
    <t xml:space="preserve">AML.M0020; AML.M0021; AML.M0033</t>
  </si>
  <si>
    <t xml:space="preserve">NISTAML.015; NISTAML.018; NISTAML.022; NISTAML.025; NISTAML.035</t>
  </si>
  <si>
    <t xml:space="preserve">A.6.2.4; A.6.2.6</t>
  </si>
  <si>
    <t xml:space="preserve">A.8.16; A.8.26; A.8.27</t>
  </si>
  <si>
    <t xml:space="preserve">DE.CM; PR.DS; PR.PS</t>
  </si>
  <si>
    <t xml:space="preserve">CIS 13; CIS 16</t>
  </si>
  <si>
    <t xml:space="preserve">CC6.6; CC7.2</t>
  </si>
  <si>
    <t xml:space="preserve">S6; S7; U2; U11</t>
  </si>
  <si>
    <t xml:space="preserve">E5; E7; E17</t>
  </si>
  <si>
    <t xml:space="preserve">IN8; IN10; IN11</t>
  </si>
  <si>
    <t xml:space="preserve">MAS 5.16; SG2; SG5; SG7; SG8</t>
  </si>
  <si>
    <t xml:space="preserve">HK5; Risk management frameworks: data within appro</t>
  </si>
  <si>
    <t xml:space="preserve">AIR-OP-028; AIR-SEC-024</t>
  </si>
  <si>
    <t xml:space="preserve">05 AI access and identity; 05 Output and integration security; 12 Action integrity and traceability; 12 Autonomy, alignment and oversight; 12 Multi-agent orchestration; 12 Tool access and authorization</t>
  </si>
  <si>
    <t xml:space="preserve">GOVERN 1.6; MEASURE 2.4</t>
  </si>
  <si>
    <t xml:space="preserve">AC.3; RG.2</t>
  </si>
  <si>
    <t xml:space="preserve">ASI07; ASI10</t>
  </si>
  <si>
    <t xml:space="preserve">AML.M0024; AML.M0038</t>
  </si>
  <si>
    <t xml:space="preserve">A.4.2; A.6.2.6</t>
  </si>
  <si>
    <t xml:space="preserve">A.5.15; A.8.15; A.8.16</t>
  </si>
  <si>
    <t xml:space="preserve">DE.CM; PR.AA</t>
  </si>
  <si>
    <t xml:space="preserve">CIS 6; CIS 8</t>
  </si>
  <si>
    <t xml:space="preserve">CC6.1; CC7.2</t>
  </si>
  <si>
    <t xml:space="preserve">MAS 4.5 to 4.9; SG5</t>
  </si>
  <si>
    <t xml:space="preserve">03 Privacy and consent; 08 Cross-border</t>
  </si>
  <si>
    <t xml:space="preserve">GOVERN 1.1; GOVERN 6.1; MAP 4.1</t>
  </si>
  <si>
    <t xml:space="preserve">A.4.5; A.10.3</t>
  </si>
  <si>
    <t xml:space="preserve">A.5.14; A.5.23; A.5.31; A.5.33; A.8.10</t>
  </si>
  <si>
    <t xml:space="preserve">GV.OC; GV.SC; PR.DS</t>
  </si>
  <si>
    <t xml:space="preserve">CIS 3; CIS 15</t>
  </si>
  <si>
    <t xml:space="preserve">C1.1; C1.2; CC9.2; P4.2</t>
  </si>
  <si>
    <t xml:space="preserve">Retention and deletion; Transfers outside the jurisdiction</t>
  </si>
  <si>
    <t xml:space="preserve">Q1; S1; S10; U1; U7</t>
  </si>
  <si>
    <t xml:space="preserve">E2; E9</t>
  </si>
  <si>
    <t xml:space="preserve">IN1; IN2</t>
  </si>
  <si>
    <t xml:space="preserve">AIR-DET-004; AIR-DET-021</t>
  </si>
  <si>
    <t xml:space="preserve">03 Retention and disposal; 04 Explainability; 04 Reproducibility and documentation; 05 Inference-time (input) attacks; 07 Incident management; 07 MLOps and deployment; 07 Monitoring and observability; 12 Action integrity and traceability</t>
  </si>
  <si>
    <t xml:space="preserve">MANAGE 4.1; MEASURE 2.4; MEASURE 2.8</t>
  </si>
  <si>
    <t xml:space="preserve">CM.3; TR.3</t>
  </si>
  <si>
    <t xml:space="preserve">A.5.28; A.5.33; A.8.15; A.8.17</t>
  </si>
  <si>
    <t xml:space="preserve">DE.CM; PR.PS</t>
  </si>
  <si>
    <t xml:space="preserve">Accountability; Transparency</t>
  </si>
  <si>
    <t xml:space="preserve">S6; S7; U11</t>
  </si>
  <si>
    <t xml:space="preserve">E1c; E7</t>
  </si>
  <si>
    <t xml:space="preserve">MAS 5.23; SG5; SG7</t>
  </si>
  <si>
    <t xml:space="preserve">04 Reproducibility and documentation; 05 Model attacks; 07 Incident management; 07 Monitoring and observability; 12 Action integrity and traceability</t>
  </si>
  <si>
    <t xml:space="preserve">MANAGE 4.1; MEASURE 2.4; MEASURE 3.1</t>
  </si>
  <si>
    <t xml:space="preserve">A.6.2.6; A.6.2.8</t>
  </si>
  <si>
    <t xml:space="preserve">A.5.25; A.5.37; A.8.15; A.8.16</t>
  </si>
  <si>
    <t xml:space="preserve">DE.AE; DE.CM</t>
  </si>
  <si>
    <t xml:space="preserve">CIS 8; CIS 13</t>
  </si>
  <si>
    <t xml:space="preserve">CC7.2; CC7.3</t>
  </si>
  <si>
    <t xml:space="preserve">PO.5; RV.1</t>
  </si>
  <si>
    <t xml:space="preserve">MAS 5.23; SG5</t>
  </si>
  <si>
    <t xml:space="preserve">01 Governance and oversight; 03 Privacy and consent; 07 MLOps and deployment</t>
  </si>
  <si>
    <t xml:space="preserve">GOVERN 1.4; MANAGE 1.3</t>
  </si>
  <si>
    <t xml:space="preserve">A.2.2; A.9.2</t>
  </si>
  <si>
    <t xml:space="preserve">A.5.10; A.5.12; A.8.12; A.8.23</t>
  </si>
  <si>
    <t xml:space="preserve">GV.PO; PR.DS</t>
  </si>
  <si>
    <t xml:space="preserve">CC5.3; CC6.7</t>
  </si>
  <si>
    <t xml:space="preserve">MAS 2.3 to 2.5; SG5</t>
  </si>
  <si>
    <t xml:space="preserve">AIR-OP-014; AIR-OP-018</t>
  </si>
  <si>
    <t xml:space="preserve">01 Governance and oversight; 02 AI strategy and roadmap; 02 Competitive position; 02 Use-case selection and sourcing; 02 Value measurement / ROI; 06 Bias and fairness; 07 MLOps and deployment; 08 Regulatory compliance; 09 Foundation-model dependence</t>
  </si>
  <si>
    <t xml:space="preserve">GOVERN 1.3; GOVERN 1.6; GOVERN 1.7; MAP 1.1</t>
  </si>
  <si>
    <t xml:space="preserve">GV.4; RG.1; RG.2</t>
  </si>
  <si>
    <t xml:space="preserve">A.4.2; A.5.2; A.9.4</t>
  </si>
  <si>
    <t xml:space="preserve">A.5.8; A.5.9; A.5.12</t>
  </si>
  <si>
    <t xml:space="preserve">9.1.4 and Annex A; Scope of certification</t>
  </si>
  <si>
    <t xml:space="preserve">GV.RM; ID.AM; ID.RA</t>
  </si>
  <si>
    <t xml:space="preserve">CIS 1; CIS 2</t>
  </si>
  <si>
    <t xml:space="preserve">CC3.1; CC3.2</t>
  </si>
  <si>
    <t xml:space="preserve">1.2.4 (data-flow diagrams); 12.5.1 (inventory of system components); 12.5.2 (scope confirmation)</t>
  </si>
  <si>
    <t xml:space="preserve">AI inventory and AI-BOM; AI system owner; Categorising AI system risk; Requirements, scoping and threat modelling</t>
  </si>
  <si>
    <t xml:space="preserve">Principle 1.1; Principle 1.5</t>
  </si>
  <si>
    <t xml:space="preserve">O1; Q4; U6; U9</t>
  </si>
  <si>
    <t xml:space="preserve">E1a; E14</t>
  </si>
  <si>
    <t xml:space="preserve">UK6; UK11; UK13</t>
  </si>
  <si>
    <t xml:space="preserve">CA4; CA6</t>
  </si>
  <si>
    <t xml:space="preserve">IN5; IN6; IN7; IN8; IN13</t>
  </si>
  <si>
    <t xml:space="preserve">MAS 1.6, 2.1 to 2.2; MAS 4.2 to 4.4; MAS 4.5 to 4.9; MAS 4.10 to 4.13; MAS 5.26; SG5</t>
  </si>
  <si>
    <t xml:space="preserve">HK1; HK5; Inventory: an up-to-date inventory of approve; Risk-commensurate management: materiality and; Use-case owners and human oversight: a named </t>
  </si>
  <si>
    <t xml:space="preserve">AIR-OP-014; AIR-OP-018; AIR-RC-001; AIR-RC-022; AIR-RC-023</t>
  </si>
  <si>
    <t xml:space="preserve">01 Governance and oversight; 01 Policy and standards; 01 Roles and accountability; 02 Use-case selection and sourcing; 03 Privacy and consent; 03 Training-data rights and IP; 06 Human agency and over-reliance; 06 Transparency, disclosure and provenance; 07 MLOps and deployment; 08 IP and liability; 08 Regulatory compliance; 10 Skills and talent; 10 Workforce disruption / change; 12 Autonomy, alignment and oversight</t>
  </si>
  <si>
    <t xml:space="preserve">GOVERN 1.2; GOVERN 1.4; GOVERN 2.1; GOVERN 2.2</t>
  </si>
  <si>
    <t xml:space="preserve">GV.1; GV.2</t>
  </si>
  <si>
    <t xml:space="preserve">A.2.2; A.2.3; A.2.4; A.3.2</t>
  </si>
  <si>
    <t xml:space="preserve">A.5.1; A.5.2; A.5.4; A.5.10; A.6.2; A.6.4</t>
  </si>
  <si>
    <t xml:space="preserve">GV.PO; GV.RR</t>
  </si>
  <si>
    <t xml:space="preserve">CC1.3; CC2.2; CC5.3</t>
  </si>
  <si>
    <t xml:space="preserve">PO.1; PO.2</t>
  </si>
  <si>
    <t xml:space="preserve">Multi-stakeholder and adaptive governance ...; Responsibility and accountability</t>
  </si>
  <si>
    <t xml:space="preserve">B2; Q3; S2; S3; U3; U4; U12</t>
  </si>
  <si>
    <t xml:space="preserve">E1a; E1b; E12; E17</t>
  </si>
  <si>
    <t xml:space="preserve">UK1; UK5; UK13</t>
  </si>
  <si>
    <t xml:space="preserve">US9; US12; US14; US15</t>
  </si>
  <si>
    <t xml:space="preserve">AU1; AU4; AU7</t>
  </si>
  <si>
    <t xml:space="preserve">CA5; CA8</t>
  </si>
  <si>
    <t xml:space="preserve">CN1; CN5</t>
  </si>
  <si>
    <t xml:space="preserve">IN4; IN13</t>
  </si>
  <si>
    <t xml:space="preserve">JP1; JP2; JP3</t>
  </si>
  <si>
    <t xml:space="preserve">MAS 1.5, 3.6; MAS 2.3 to 2.5; MAS 3.1 to 3.4; MAS 3.5; SG1; SG5</t>
  </si>
  <si>
    <t xml:space="preserve">KR5; KR6</t>
  </si>
  <si>
    <t xml:space="preserve">Board and senior management accountability: t; HK1; HK2; HK5; HK6</t>
  </si>
  <si>
    <t xml:space="preserve">AIR-RC-001; AIR-RC-022; AIR-RC-023</t>
  </si>
  <si>
    <t xml:space="preserve">01 Roles and accountability; 03 Privacy and consent; 03 Retention and disposal; 03 Training-data rights and IP; 06 Transparency, disclosure and provenance; 08 Cross-border; 08 IP and liability; 08 Regulatory compliance</t>
  </si>
  <si>
    <t xml:space="preserve">GOVERN 1.1; MAP 5.1; MEASURE 2.10</t>
  </si>
  <si>
    <t xml:space="preserve">CM.1; RG.5</t>
  </si>
  <si>
    <t xml:space="preserve">A.5.2; A.5.3; A.5.4</t>
  </si>
  <si>
    <t xml:space="preserve">A.5.31; A.5.34; A.8.10; A.8.11</t>
  </si>
  <si>
    <t xml:space="preserve">Compliance; Governance of data use</t>
  </si>
  <si>
    <t xml:space="preserve">GV.OC; PR.DS</t>
  </si>
  <si>
    <t xml:space="preserve">P1.1; P3.1; P4.1; P4.2; P5.1</t>
  </si>
  <si>
    <t xml:space="preserve">Principle 1.2; Principle 1.3</t>
  </si>
  <si>
    <t xml:space="preserve">Automated decisions about individuals; Requests from individuals</t>
  </si>
  <si>
    <t xml:space="preserve">B1; O2; Q1; S1; U1; U5; U6; U7</t>
  </si>
  <si>
    <t xml:space="preserve">E1c; E2; E3; E4; E17</t>
  </si>
  <si>
    <t xml:space="preserve">UK2; UK3; UK4</t>
  </si>
  <si>
    <t xml:space="preserve">US5; US8; US9; US17</t>
  </si>
  <si>
    <t xml:space="preserve">AU2; AU3; AU3a</t>
  </si>
  <si>
    <t xml:space="preserve">BR2; BR3</t>
  </si>
  <si>
    <t xml:space="preserve">CA2; CA3; CA7</t>
  </si>
  <si>
    <t xml:space="preserve">CN1; CN2; CN7; CN9</t>
  </si>
  <si>
    <t xml:space="preserve">IN1; IN2; IN3; IN11</t>
  </si>
  <si>
    <t xml:space="preserve">MAS 5.4; SG4; SG5</t>
  </si>
  <si>
    <t xml:space="preserve">Ethical use and fair treatment: no unfair bia; HK6; HK7; Risk management frameworks: data within appro</t>
  </si>
  <si>
    <t xml:space="preserve">AIR-OP-005; AIR-OP-006; AIR-RC-001; AIR-SEC-008; AIR-SEC-009; AIR-SEC-026</t>
  </si>
  <si>
    <t xml:space="preserve">02 Value measurement / ROI; 03 Privacy and consent; 03 Training-data rights and IP; 04 Robustness and drift; 05 Model attacks; 05 Supply-chain and artifact integrity; 06 Transparency, disclosure and provenance; 07 Change and lifecycle management; 07 MLOps and deployment; 08 Contractual and licensing; 08 Cross-border; 08 IP and liability; 09 Foundation-model dependence; 09 Lock-in and portability; 09 Open-source component risk; 09 Vendor due diligence; 11 Cost and compute economics; 11 Investment / procurement; 11 Scaling and resource constraints</t>
  </si>
  <si>
    <t xml:space="preserve">GOVERN 6.1; GOVERN 6.2; MANAGE 3.1</t>
  </si>
  <si>
    <t xml:space="preserve">RG.1; RG.5</t>
  </si>
  <si>
    <t xml:space="preserve">AML.T0010; AML.T0109</t>
  </si>
  <si>
    <t xml:space="preserve">A.10.2; A.10.3</t>
  </si>
  <si>
    <t xml:space="preserve">A.5.11; A.5.19; A.5.20; A.5.21; A.5.22; A.5.23</t>
  </si>
  <si>
    <t xml:space="preserve">12.8.x (third-party service providers); Payment page scripts (not numbered; 6.4.3 ...</t>
  </si>
  <si>
    <t xml:space="preserve">E1e; E6; E9; E13; E15</t>
  </si>
  <si>
    <t xml:space="preserve">US15; US16; US17</t>
  </si>
  <si>
    <t xml:space="preserve">IN5; IN7; IN13</t>
  </si>
  <si>
    <t xml:space="preserve">MAS 5.10 to 5.11; SG5</t>
  </si>
  <si>
    <t xml:space="preserve">HK1; HK5; Risk management frameworks: data within appro</t>
  </si>
  <si>
    <t xml:space="preserve">AIR-OP-028; AIR-SEC-024; AIR-SEC-029</t>
  </si>
  <si>
    <t xml:space="preserve">05 AI access and identity; 05 Output and integration security; 07 Monitoring and observability; 12 Action integrity and traceability; 12 Autonomy, alignment and oversight; 12 Multi-agent orchestration; 12 Tool access and authorization</t>
  </si>
  <si>
    <t xml:space="preserve">MEASURE 2.7; MEASURE 2.8</t>
  </si>
  <si>
    <t xml:space="preserve">AC.2; AC.4</t>
  </si>
  <si>
    <t xml:space="preserve">ASI03; ASI07</t>
  </si>
  <si>
    <t xml:space="preserve">MCP01:2025; MCP07:2025</t>
  </si>
  <si>
    <t xml:space="preserve">AML.T0012; AML.T0073; AML.T0091</t>
  </si>
  <si>
    <t xml:space="preserve">A.5.16; A.5.17; A.8.5</t>
  </si>
  <si>
    <t xml:space="preserve">CIS 5; CIS 6</t>
  </si>
  <si>
    <t xml:space="preserve">CC6.1; CC6.2</t>
  </si>
  <si>
    <t xml:space="preserve">AI in "individual" and "user" roles; Limits of AI use; Multiple agents</t>
  </si>
  <si>
    <t xml:space="preserve">AIR-SEC-002; AIR-SEC-008; AIR-SEC-009; AIR-SEC-024; AIR-SEC-026; AIR-SEC-029</t>
  </si>
  <si>
    <t xml:space="preserve">AIR-PREV-012; AIR-PREV-018; AIR-PREV-023</t>
  </si>
  <si>
    <t xml:space="preserve">03 Privacy and consent; 05 AI access and identity; 05 Model attacks; 05 Output and integration security; 05 Supply-chain and artifact integrity; 09 Open-source component risk; 12 Action integrity and traceability; 12 Autonomy, alignment and oversight; 12 Tool access and authorization</t>
  </si>
  <si>
    <t xml:space="preserve">AC.1; AC.2; AC.4</t>
  </si>
  <si>
    <t xml:space="preserve">MCP01:2025; MCP02:2025; MCP07:2025</t>
  </si>
  <si>
    <t xml:space="preserve">AML.T0012; AML.T0055; AML.T0083; AML.T0098</t>
  </si>
  <si>
    <t xml:space="preserve">AML.M0026; AML.M0027; AML.M0028</t>
  </si>
  <si>
    <t xml:space="preserve">A.5.15; A.5.18; A.8.2; A.8.3</t>
  </si>
  <si>
    <t xml:space="preserve">CC6.1; CC6.3</t>
  </si>
  <si>
    <t xml:space="preserve">Access and containment; Credentials constrained outside the AI system; Credentials in context; High-impact secrets and random values; Limits of AI use</t>
  </si>
  <si>
    <t xml:space="preserve">MAS 5.16; SG5</t>
  </si>
  <si>
    <t xml:space="preserve">AIR-OP-019; AIR-RC-001; AIR-SEC-002</t>
  </si>
  <si>
    <t xml:space="preserve">AIR-DET-001; AIR-PREV-006; AIR-PREV-014</t>
  </si>
  <si>
    <t xml:space="preserve">03 Privacy and consent; 03 Quality and labeling; 03 Retention and disposal; 04 Robustness and drift; 05 AI access and identity; 05 Output and integration security</t>
  </si>
  <si>
    <t xml:space="preserve">MEASURE 2.7; MEASURE 2.10</t>
  </si>
  <si>
    <t xml:space="preserve">AML.T0025; AML.T0057; AML.T0085</t>
  </si>
  <si>
    <t xml:space="preserve">AML.M0005; AML.M0012</t>
  </si>
  <si>
    <t xml:space="preserve">NISTAML.032; NISTAML.033; NISTAML.034; NISTAML.036; NISTAML.037; NISTAML.038</t>
  </si>
  <si>
    <t xml:space="preserve">A.4.3; A.7.6</t>
  </si>
  <si>
    <t xml:space="preserve">A.5.12; A.5.13; A.8.10; A.8.11; A.8.12; A.8.24; A.8.33</t>
  </si>
  <si>
    <t xml:space="preserve">ID.AM; PR.DS</t>
  </si>
  <si>
    <t xml:space="preserve">C1.1; C1.2; CC6.1; CC6.7</t>
  </si>
  <si>
    <t xml:space="preserve">1.2.4 (data-flow diagrams); 12.5.2 (scope confirmation); Requirement 3, and 3.3.1 (no storage of se...</t>
  </si>
  <si>
    <t xml:space="preserve">Account data given to AI; Cleartext card data (Example 4); High-impact secrets and random values; Independent egress monitoring; Large datasets and aggregation; Limits of AI use</t>
  </si>
  <si>
    <t xml:space="preserve">Q1; S1; U1</t>
  </si>
  <si>
    <t xml:space="preserve">HK7; Risk management frameworks: data within appro</t>
  </si>
  <si>
    <t xml:space="preserve">AIR-DET-016; AIR-PREV-012</t>
  </si>
  <si>
    <t xml:space="preserve">03 Privacy and consent; 05 AI access and identity; 05 Output and integration security</t>
  </si>
  <si>
    <t xml:space="preserve">LLM02:2025; LLM08:2025</t>
  </si>
  <si>
    <t xml:space="preserve">AML.T0057; AML.T0064; AML.T0082; AML.T0085</t>
  </si>
  <si>
    <t xml:space="preserve">AML.M0019; AML.M0027</t>
  </si>
  <si>
    <t xml:space="preserve">A.5.15; A.8.3</t>
  </si>
  <si>
    <t xml:space="preserve">PR.AA; PR.DS</t>
  </si>
  <si>
    <t xml:space="preserve">CIS 3; CIS 6</t>
  </si>
  <si>
    <t xml:space="preserve">AIR-OP-019; AIR-SEC-008; AIR-SEC-009; AIR-SEC-010; AIR-SEC-026</t>
  </si>
  <si>
    <t xml:space="preserve">AIR-PREV-002; AIR-PREV-006</t>
  </si>
  <si>
    <t xml:space="preserve">03 Quality and labeling; 04 Robustness and drift; 05 Data and pipeline attacks; 05 Inference-time (input) attacks; 05 Model attacks; 05 Supply-chain and artifact integrity; 09 Open-source component risk</t>
  </si>
  <si>
    <t xml:space="preserve">MAP 2.3; MEASURE 2.7</t>
  </si>
  <si>
    <t xml:space="preserve">LLM04:2025; LLM08:2025</t>
  </si>
  <si>
    <t xml:space="preserve">AML.T0066; AML.T0070; AML.T0071</t>
  </si>
  <si>
    <t xml:space="preserve">NISTAML.013; NISTAML.015; NISTAML.024</t>
  </si>
  <si>
    <t xml:space="preserve">A.7.3; A.7.4; A.7.5</t>
  </si>
  <si>
    <t xml:space="preserve">CC8.1; PI1.2</t>
  </si>
  <si>
    <t xml:space="preserve">AIR-PREV-003; AIR-PREV-019</t>
  </si>
  <si>
    <t xml:space="preserve">03 Privacy and consent; 05 AI access and identity; 05 Inference-time (input) attacks; 05 Output and integration security; 06 Transparency, disclosure and provenance</t>
  </si>
  <si>
    <t xml:space="preserve">LLM02:2025; LLM05:2025</t>
  </si>
  <si>
    <t xml:space="preserve">AML.T0057; AML.T0067; AML.T0077</t>
  </si>
  <si>
    <t xml:space="preserve">AML.M0020; AML.M0033</t>
  </si>
  <si>
    <t xml:space="preserve">NISTAML.035; NISTAML.036; NISTAML.038</t>
  </si>
  <si>
    <t xml:space="preserve">A.8.26; A.8.28</t>
  </si>
  <si>
    <t xml:space="preserve">Independent egress monitoring; Reliability and failure handling</t>
  </si>
  <si>
    <t xml:space="preserve">AIR-RC-001; AIR-SEC-010</t>
  </si>
  <si>
    <t xml:space="preserve">03 Privacy and consent; 05 Inference-time (input) attacks</t>
  </si>
  <si>
    <t xml:space="preserve">LLM01:2025; LLM02:2025</t>
  </si>
  <si>
    <t xml:space="preserve">AML.T0051; AML.T0088; AML.T0129</t>
  </si>
  <si>
    <t xml:space="preserve">AML.M0020; AML.M0034</t>
  </si>
  <si>
    <t xml:space="preserve">A.8.7; A.8.12; A.8.26</t>
  </si>
  <si>
    <t xml:space="preserve">CIS 3; CIS 10</t>
  </si>
  <si>
    <t xml:space="preserve">CC6.7; CC6.8</t>
  </si>
  <si>
    <t xml:space="preserve">AI-enabled social engineering and biometri...; AI-powered robotic systems</t>
  </si>
  <si>
    <t xml:space="preserve">AIR-SEC-024; AIR-SEC-025</t>
  </si>
  <si>
    <t xml:space="preserve">AIR-PREV-018; AIR-PREV-019</t>
  </si>
  <si>
    <t xml:space="preserve">05 Output and integration security; 12 Action integrity and traceability; 12 Autonomy, alignment and oversight; 12 Tool access and authorization</t>
  </si>
  <si>
    <t xml:space="preserve">AML.T0053; AML.T0086; AML.T0101</t>
  </si>
  <si>
    <t xml:space="preserve">AML.M0028; AML.M0030; AML.M0033</t>
  </si>
  <si>
    <t xml:space="preserve">3.5 Security of agents; NISTAML.015; NISTAML.039</t>
  </si>
  <si>
    <t xml:space="preserve">A.5.3; A.5.15; A.8.3</t>
  </si>
  <si>
    <t xml:space="preserve">Computationally infeasible controls; Credentials constrained outside the AI system; Multiple agents</t>
  </si>
  <si>
    <t xml:space="preserve">AIR-RC-022; AIR-SEC-024</t>
  </si>
  <si>
    <t xml:space="preserve">05 Output and integration security; 06 Human agency and over-reliance; 12 Action integrity and traceability; 12 Autonomy, alignment and oversight; 12 Tool access and authorization</t>
  </si>
  <si>
    <t xml:space="preserve">GOVERN 3.2; MAP 3.5</t>
  </si>
  <si>
    <t xml:space="preserve">AML.T0053; AML.T0101</t>
  </si>
  <si>
    <t xml:space="preserve">A.9.2; A.9.3</t>
  </si>
  <si>
    <t xml:space="preserve">Cleartext card data (Example 4); Human in the loop or over the loop</t>
  </si>
  <si>
    <t xml:space="preserve">B4; Q4; U3; U6; U9</t>
  </si>
  <si>
    <t xml:space="preserve">UK3; UK5</t>
  </si>
  <si>
    <t xml:space="preserve">US8; US10</t>
  </si>
  <si>
    <t xml:space="preserve">MAS 5.9; SG2; SG5</t>
  </si>
  <si>
    <t xml:space="preserve">Accountability for outputs: controls against ; Use-case owners and human oversight: a named </t>
  </si>
  <si>
    <t xml:space="preserve">AIR-SEC-008; AIR-SEC-009; AIR-SEC-024; AIR-SEC-025; AIR-SEC-026; AIR-SEC-030</t>
  </si>
  <si>
    <t xml:space="preserve">AIR-PREV-019; AIR-PREV-020; AIR-PREV-025</t>
  </si>
  <si>
    <t xml:space="preserve">05 Model attacks; 05 Output and integration security; 05 Supply-chain and artifact integrity; 09 Open-source component risk; 12 Action integrity and traceability; 12 Autonomy, alignment and oversight; 12 Tool access and authorization</t>
  </si>
  <si>
    <t xml:space="preserve">GOVERN 6.1; MANAGE 3.1; MAP 4.1; MAP 4.2</t>
  </si>
  <si>
    <t xml:space="preserve">ASI02; ASI04</t>
  </si>
  <si>
    <t xml:space="preserve">MCP02:2025; MCP03:2025; MCP04:2025; MCP09:2025</t>
  </si>
  <si>
    <t xml:space="preserve">AML.T0010; AML.T0099; AML.T0109; AML.T0110</t>
  </si>
  <si>
    <t xml:space="preserve">AML.M0014; AML.M0028</t>
  </si>
  <si>
    <t xml:space="preserve">3.5 Security of agents; NISTAML.039</t>
  </si>
  <si>
    <t xml:space="preserve">A.4.4; A.10.3</t>
  </si>
  <si>
    <t xml:space="preserve">A.5.19; A.5.21; A.8.9; A.8.18; A.8.19; A.8.32</t>
  </si>
  <si>
    <t xml:space="preserve">GV.SC; PR.PS</t>
  </si>
  <si>
    <t xml:space="preserve">CIS 2; CIS 15; CIS 16</t>
  </si>
  <si>
    <t xml:space="preserve">CC6.8; CC8.1; CC9.2</t>
  </si>
  <si>
    <t xml:space="preserve">AIR-OP-028; AIR-SEC-024; AIR-SEC-027</t>
  </si>
  <si>
    <t xml:space="preserve">03 Retention and disposal; 05 Output and integration security; 07 Availability and scalability; 11 Cost and compute economics; 12 Action integrity and traceability; 12 Autonomy, alignment and oversight; 12 Memory and context integrity; 12 Multi-agent orchestration; 12 Tool access and authorization</t>
  </si>
  <si>
    <t xml:space="preserve">MANAGE 2.3; MANAGE 2.4</t>
  </si>
  <si>
    <t xml:space="preserve">ASI08; ASI10</t>
  </si>
  <si>
    <t xml:space="preserve">AML.T0034; AML.T0053</t>
  </si>
  <si>
    <t xml:space="preserve">AML.M0036; AML.M0037</t>
  </si>
  <si>
    <t xml:space="preserve">A.5.18; A.5.26</t>
  </si>
  <si>
    <t xml:space="preserve">RS.MA; RS.MI</t>
  </si>
  <si>
    <t xml:space="preserve">CIS 6; CIS 17</t>
  </si>
  <si>
    <t xml:space="preserve">CC6.2; CC7.4</t>
  </si>
  <si>
    <t xml:space="preserve">Cleartext card data (Example 4); Human in the loop or over the loop; Minimise blast radius</t>
  </si>
  <si>
    <t xml:space="preserve">IN6; IN13</t>
  </si>
  <si>
    <t xml:space="preserve">MAS 5.3; SG2; SG5; SG7</t>
  </si>
  <si>
    <t xml:space="preserve">HK1; HK9; Risk-commensurate management: materiality and</t>
  </si>
  <si>
    <t xml:space="preserve">AIR-SEC-010; AIR-SEC-024; AIR-SEC-027</t>
  </si>
  <si>
    <t xml:space="preserve">03 Retention and disposal; 05 Inference-time (input) attacks; 05 Output and integration security; 12 Action integrity and traceability; 12 Autonomy, alignment and oversight; 12 Memory and context integrity; 12 Tool access and authorization</t>
  </si>
  <si>
    <t xml:space="preserve">LLM01:2025; LLM04:2025</t>
  </si>
  <si>
    <t xml:space="preserve">MCP03:2025; MCP10:2025</t>
  </si>
  <si>
    <t xml:space="preserve">AML.T0080; AML.T0092; AML.T0094</t>
  </si>
  <si>
    <t xml:space="preserve">3.5 Security of agents; NISTAML.015</t>
  </si>
  <si>
    <t xml:space="preserve">CC6.1; PI1.5</t>
  </si>
  <si>
    <t xml:space="preserve">AIR-OP-028; AIR-SEC-024; AIR-SEC-027; AIR-SEC-029</t>
  </si>
  <si>
    <t xml:space="preserve">03 Retention and disposal; 05 AI access and identity; 05 Output and integration security; 12 Action integrity and traceability; 12 Autonomy, alignment and oversight; 12 Memory and context integrity; 12 Multi-agent orchestration; 12 Tool access and authorization</t>
  </si>
  <si>
    <t xml:space="preserve">AML.T0050; AML.T0102; AML.T0105</t>
  </si>
  <si>
    <t xml:space="preserve">AML.M0011; AML.M0032</t>
  </si>
  <si>
    <t xml:space="preserve">A.4.5; A.6.2.5</t>
  </si>
  <si>
    <t xml:space="preserve">A.8.22; A.8.27; A.8.31</t>
  </si>
  <si>
    <t xml:space="preserve">PR.IR; PR.PS</t>
  </si>
  <si>
    <t xml:space="preserve">CIS 4; CIS 12; CIS 16</t>
  </si>
  <si>
    <t xml:space="preserve">CC6.6; CC6.8</t>
  </si>
  <si>
    <t xml:space="preserve">Access and containment; Account data given to AI; Computationally infeasible controls; Minimise blast radius</t>
  </si>
  <si>
    <t xml:space="preserve">AIR-SEC-008; AIR-SEC-009; AIR-SEC-026</t>
  </si>
  <si>
    <t xml:space="preserve">05 Model attacks; 05 Supply-chain and artifact integrity; 09 Open-source component risk</t>
  </si>
  <si>
    <t xml:space="preserve">MEASURE 2.5; MEASURE 2.7</t>
  </si>
  <si>
    <t xml:space="preserve">LLM02:2025; LLM10:2025</t>
  </si>
  <si>
    <t xml:space="preserve">AML.T0015; AML.T0018; AML.T0024; AML.T0043; AML.T0044</t>
  </si>
  <si>
    <t xml:space="preserve">AML.M0003; AML.M0004; AML.M0005; AML.M0008; AML.M0015</t>
  </si>
  <si>
    <t xml:space="preserve">NISTAML.011; NISTAML.026; NISTAML.031; NISTAML.032; NISTAML.033; NISTAML.034; NISTAML.037; NISTAML.038; NISTAML.051</t>
  </si>
  <si>
    <t xml:space="preserve">A.5.15; A.8.3; A.8.12; A.8.24</t>
  </si>
  <si>
    <t xml:space="preserve">C1.1; CC6.1; CC6.7</t>
  </si>
  <si>
    <t xml:space="preserve">MAS 5.26; SG5</t>
  </si>
  <si>
    <t xml:space="preserve">03 Privacy and consent; 03 Retention and disposal; 03 Sourcing and provenance; 05 Data and pipeline attacks; 05 Model attacks; 05 Supply-chain and artifact integrity; 09 Open-source component risk</t>
  </si>
  <si>
    <t xml:space="preserve">MAP 2.3; MAP 4.1; MEASURE 2.7; MEASURE 2.10</t>
  </si>
  <si>
    <t xml:space="preserve">AML.T0020; AML.T0059</t>
  </si>
  <si>
    <t xml:space="preserve">AML.M0007; AML.M0025</t>
  </si>
  <si>
    <t xml:space="preserve">NISTAML.012; NISTAML.013; NISTAML.021; NISTAML.023; NISTAML.024; NISTAML.037</t>
  </si>
  <si>
    <t xml:space="preserve">A.7.2; A.7.3; A.7.4; A.7.5</t>
  </si>
  <si>
    <t xml:space="preserve">A.5.9; A.5.21; A.8.33</t>
  </si>
  <si>
    <t xml:space="preserve">5259-1, 5.3; 5259-2, 6; 5259-4, 8</t>
  </si>
  <si>
    <t xml:space="preserve">GV.SC; ID.AM; PR.DS</t>
  </si>
  <si>
    <t xml:space="preserve">E1e; E11</t>
  </si>
  <si>
    <t xml:space="preserve">US6; US14; US16</t>
  </si>
  <si>
    <t xml:space="preserve">MAS 5.4; SG5</t>
  </si>
  <si>
    <t xml:space="preserve">04 Design and training; 04 Reproducibility and documentation; 05 Model attacks; 05 Supply-chain and artifact integrity; 07 MLOps and deployment; 09 Open-source component risk</t>
  </si>
  <si>
    <t xml:space="preserve">MAP 4.2; MEASURE 2.7</t>
  </si>
  <si>
    <t xml:space="preserve">LLM03:2025; LLM04:2025</t>
  </si>
  <si>
    <t xml:space="preserve">AML.T0010; AML.T0018; AML.T0119</t>
  </si>
  <si>
    <t xml:space="preserve">AML.M0013; AML.M0014</t>
  </si>
  <si>
    <t xml:space="preserve">NISTAML.011; NISTAML.026; NISTAML.051</t>
  </si>
  <si>
    <t xml:space="preserve">A.6.1.3; A.6.2.3; A.6.2.5; A.6.2.7</t>
  </si>
  <si>
    <t xml:space="preserve">A.8.4; A.8.9; A.8.25; A.8.29; A.8.31; A.8.32</t>
  </si>
  <si>
    <t xml:space="preserve">8.4, 8.5; 8.6, 8.7</t>
  </si>
  <si>
    <t xml:space="preserve">PR.AA; PR.PS</t>
  </si>
  <si>
    <t xml:space="preserve">CIS 4; CIS 16</t>
  </si>
  <si>
    <t xml:space="preserve">CC6.1; CC8.1</t>
  </si>
  <si>
    <t xml:space="preserve">PO.3; PO.5; PS.1; PS.2; PW.6</t>
  </si>
  <si>
    <t xml:space="preserve">MAS 5.17; MAS 5.25; SG5</t>
  </si>
  <si>
    <t xml:space="preserve">AIR-OP-005; AIR-OP-006; AIR-SEC-008; AIR-SEC-009; AIR-SEC-026; AIR-SEC-030</t>
  </si>
  <si>
    <t xml:space="preserve">AIR-PREV-010; AIR-PREV-025</t>
  </si>
  <si>
    <t xml:space="preserve">03 Training-data rights and IP; 04 Robustness and drift; 05 Model attacks; 05 Supply-chain and artifact integrity; 06 Bias and fairness; 06 Transparency, disclosure and provenance; 07 Change and lifecycle management; 07 MLOps and deployment; 08 IP and liability; 09 Foundation-model dependence; 09 Lock-in and portability; 09 Open-source component risk; 11 Scaling and resource constraints; 12 Tool access and authorization</t>
  </si>
  <si>
    <t xml:space="preserve">GOVERN 6.1; MANAGE 3.1; MANAGE 3.2; MAP 4.1</t>
  </si>
  <si>
    <t xml:space="preserve">AML.T0010; AML.T0109; AML.T0111; AML.T0115</t>
  </si>
  <si>
    <t xml:space="preserve">AML.M0014; AML.M0016; AML.M0023</t>
  </si>
  <si>
    <t xml:space="preserve">NISTAML.011; NISTAML.021; NISTAML.023; NISTAML.026; NISTAML.051</t>
  </si>
  <si>
    <t xml:space="preserve">A.4.2; A.6.2.7; A.7.5; A.10.3</t>
  </si>
  <si>
    <t xml:space="preserve">A.5.9; A.5.21; A.8.8; A.8.19; A.8.30</t>
  </si>
  <si>
    <t xml:space="preserve">GV.SC; ID.AM; ID.RA</t>
  </si>
  <si>
    <t xml:space="preserve">CIS 2; CIS 7; CIS 15; CIS 16</t>
  </si>
  <si>
    <t xml:space="preserve">CC7.1; CC9.2</t>
  </si>
  <si>
    <t xml:space="preserve">PS.2; PS.3; PW.4; PW.7</t>
  </si>
  <si>
    <t xml:space="preserve">12.5.1 (inventory of system components); Payment page scripts (not numbered; 6.4.3 ...; Targeted risk analysis (not numbered in th...</t>
  </si>
  <si>
    <t xml:space="preserve">AI inventory and AI-BOM; AI software development; Adaptation and provenance</t>
  </si>
  <si>
    <t xml:space="preserve">AIR-RC-001; AIR-SEC-008; AIR-SEC-009; AIR-SEC-026</t>
  </si>
  <si>
    <t xml:space="preserve">03 Privacy and consent; 05 Model attacks; 05 Supply-chain and artifact integrity; 08 Cross-border; 09 Open-source component risk</t>
  </si>
  <si>
    <t xml:space="preserve">AML.T0025; AML.T0049; AML.T0055; AML.T0132</t>
  </si>
  <si>
    <t xml:space="preserve">AML.M0005; AML.M0012; AML.M0016; AML.M0019</t>
  </si>
  <si>
    <t xml:space="preserve">A.5.23; A.8.8; A.8.9; A.8.20; A.8.21; A.8.22; A.8.24</t>
  </si>
  <si>
    <t xml:space="preserve">PR.DS; PR.IR; PR.PS</t>
  </si>
  <si>
    <t xml:space="preserve">CIS 4; CIS 7; CIS 12; CIS 13</t>
  </si>
  <si>
    <t xml:space="preserve">CC6.1; CC6.6; CC7.1</t>
  </si>
  <si>
    <t xml:space="preserve">MAS 5.16; MAS 5.22; MAS 6.3; SG5</t>
  </si>
  <si>
    <t xml:space="preserve">AIR-OP-005; AIR-OP-006; AIR-OP-016; AIR-SEC-008; AIR-SEC-009; AIR-SEC-010; AIR-SEC-024; AIR-SEC-026</t>
  </si>
  <si>
    <t xml:space="preserve">04 Accuracy and validation; 04 Reproducibility and documentation; 04 Robustness and drift; 05 Inference-time (input) attacks; 05 Model attacks; 05 Output and integration security; 05 Supply-chain and artifact integrity; 06 Bias and fairness; 06 Transparency, disclosure and provenance; 07 Change and lifecycle management; 07 MLOps and deployment; 09 Open-source component risk; 12 Action integrity and traceability; 12 Autonomy, alignment and oversight; 12 Tool access and authorization</t>
  </si>
  <si>
    <t xml:space="preserve">GOVERN 4.2; MANAGE 1.1; MEASURE 2.7</t>
  </si>
  <si>
    <t xml:space="preserve">A.5.2; A.6.1.2; A.6.1.3; A.6.2.2; A.6.2.4; A.6.2.5</t>
  </si>
  <si>
    <t xml:space="preserve">A.5.8; A.8.25; A.8.27; A.8.29; A.8.32</t>
  </si>
  <si>
    <t xml:space="preserve">ID.RA; PR.PS</t>
  </si>
  <si>
    <t xml:space="preserve">CC3.4; CC8.1</t>
  </si>
  <si>
    <t xml:space="preserve">PO.1; PO.4; PW.1; PW.2; PW.7</t>
  </si>
  <si>
    <t xml:space="preserve">6.2.3 and 6.2.3.1 (code review); 6.5.1, with 6.2.4 (change procedures)</t>
  </si>
  <si>
    <t xml:space="preserve">Continuous monitoring and rapid triage; Evaluation of deployment controls; Requirements, scoping and threat modelling</t>
  </si>
  <si>
    <t xml:space="preserve">MAS 5.12 to 5.13; MAS 5.18 to 5.21; MAS 5.22; MAS 5.25; SG5</t>
  </si>
  <si>
    <t xml:space="preserve">AIR-OP-005; AIR-OP-006; AIR-OP-019; AIR-OP-020; AIR-SEC-010; AIR-SEC-024</t>
  </si>
  <si>
    <t xml:space="preserve">AIR-DET-011; AIR-DET-015; AIR-PREV-005; AIR-PREV-010</t>
  </si>
  <si>
    <t xml:space="preserve">03 Quality and labeling; 04 Accuracy and validation; 04 Reproducibility and documentation; 04 Robustness and drift; 05 Inference-time (input) attacks; 05 Model attacks; 05 Output and integration security; 06 Bias and fairness; 06 Harmful / inaccurate output; 06 Transparency, disclosure and provenance; 07 Change and lifecycle management; 07 MLOps and deployment; 09 Foundation-model dependence; 09 Open-source component risk; 12 Action integrity and traceability; 12 Autonomy, alignment and oversight; 12 Tool access and authorization</t>
  </si>
  <si>
    <t xml:space="preserve">GOVERN 4.3; MEASURE 2.1; MEASURE 2.6; MEASURE 2.7</t>
  </si>
  <si>
    <t xml:space="preserve">Dangerous, Violent, or Hateful Content; Harmful Bias or Homogenization; Information Security</t>
  </si>
  <si>
    <t xml:space="preserve">LLM01:2025; LLM02:2025; LLM03:2025; LLM04:2025; LLM05:2025; LLM06:2025; LLM07:2025; LLM08:2025; LLM09:2025; LLM10:2025</t>
  </si>
  <si>
    <t xml:space="preserve">3.6 Benchmarks for AML vulnerabilities; NISTAML.012; NISTAML.013; NISTAML.018; NISTAML.021; NISTAML.022; NISTAML.023; NISTAML.024; NISTAML.025; NISTAML.027; NISTAML.032; NISTAML.033</t>
  </si>
  <si>
    <t xml:space="preserve">A.5.7; A.8.8; A.8.29; A.8.34</t>
  </si>
  <si>
    <t xml:space="preserve">AI-specific security threats (data poisoning,; Testing and evaluation</t>
  </si>
  <si>
    <t xml:space="preserve">6.4.11, 6.4.13; Continuous validation process</t>
  </si>
  <si>
    <t xml:space="preserve">ID.IM; ID.RA</t>
  </si>
  <si>
    <t xml:space="preserve">CIS 7; CIS 18</t>
  </si>
  <si>
    <t xml:space="preserve">CC4.1; CC7.1</t>
  </si>
  <si>
    <t xml:space="preserve">PO.4; PW.8; RV.1</t>
  </si>
  <si>
    <t xml:space="preserve">6.2.3 and 6.2.3.1 (code review); Penetration and segmentation testing (not ...; Targeted risk analysis (not numbered in th...</t>
  </si>
  <si>
    <t xml:space="preserve">AI system inputs and functional limitations; Evaluation of deployment controls; Use, monitoring and revalidation</t>
  </si>
  <si>
    <t xml:space="preserve">Action 1; Action 2</t>
  </si>
  <si>
    <t xml:space="preserve">MAS 5.14 to 5.15; MAS 5.22; MAS 5.24; SG5</t>
  </si>
  <si>
    <t xml:space="preserve">HK5; Risk-commensurate management: materiality and</t>
  </si>
  <si>
    <t xml:space="preserve">03 Retention and disposal; 04 Reproducibility and documentation; 06 Harmful / inaccurate output; 07 Incident management; 07 Monitoring and observability; 12 Action integrity and traceability</t>
  </si>
  <si>
    <t xml:space="preserve">GOVERN 4.3; GOVERN 6.2; MANAGE 2.3; MANAGE 4.3</t>
  </si>
  <si>
    <t xml:space="preserve">A.3.3; A.6.2.6; A.8.3; A.8.4</t>
  </si>
  <si>
    <t xml:space="preserve">A.5.24; A.5.25; A.5.26; A.5.27; A.5.28; A.5.37; A.6.8</t>
  </si>
  <si>
    <t xml:space="preserve">DE.AE; RC.RP; RS.AN; RS.CO; RS.MA; RS.MI</t>
  </si>
  <si>
    <t xml:space="preserve">CC7.3; CC7.4; CC7.5</t>
  </si>
  <si>
    <t xml:space="preserve">RV.2; RV.3</t>
  </si>
  <si>
    <t xml:space="preserve">Action 2; Action 4</t>
  </si>
  <si>
    <t xml:space="preserve">U1; U2</t>
  </si>
  <si>
    <t xml:space="preserve">E1c; E2; E5; E6</t>
  </si>
  <si>
    <t xml:space="preserve">AU3; AU3a; AU8</t>
  </si>
  <si>
    <t xml:space="preserve">IN1; IN2; IN3; IN10</t>
  </si>
  <si>
    <t xml:space="preserve">MAS 3.5; MAS 5.23; SG5; SG8</t>
  </si>
  <si>
    <t xml:space="preserve">AIR-DET-009; AIR-PREV-008</t>
  </si>
  <si>
    <t xml:space="preserve">02 Value measurement / ROI; 05 Model attacks; 07 Availability and scalability; 11 Cost and compute economics; 11 Investment / procurement</t>
  </si>
  <si>
    <t xml:space="preserve">MANAGE 4.1; MEASURE 2.7</t>
  </si>
  <si>
    <t xml:space="preserve">AML.T0029; AML.T0034; AML.T0046</t>
  </si>
  <si>
    <t xml:space="preserve">AML.M0004; AML.M0036</t>
  </si>
  <si>
    <t xml:space="preserve">NISTAML.014; NISTAML.025; NISTAML.031</t>
  </si>
  <si>
    <t xml:space="preserve">A.8.6; A.8.16</t>
  </si>
  <si>
    <t xml:space="preserve">DE.CM; PR.IR</t>
  </si>
  <si>
    <t xml:space="preserve">AIR-OP-014; AIR-OP-018; AIR-RC-022</t>
  </si>
  <si>
    <t xml:space="preserve">01 Governance and oversight; 01 Roles and accountability; 02 AI strategy and roadmap; 02 Competitive position; 02 Use-case selection and sourcing; 02 Value measurement / ROI; 03 Privacy and consent; 07 MLOps and deployment; 08 IP and liability; 08 Regulatory compliance; 11 Cost and compute economics; 11 Investment / procurement</t>
  </si>
  <si>
    <t xml:space="preserve">GOVERN 1.3; MANAGE 1.2; MANAGE 1.4; MAP 1.5</t>
  </si>
  <si>
    <t xml:space="preserve">Clause 6.1.2; Clause 6.1.3</t>
  </si>
  <si>
    <t xml:space="preserve">GV.RM; ID.RA</t>
  </si>
  <si>
    <t xml:space="preserve">CC3.1; CC3.2; CC9.1</t>
  </si>
  <si>
    <t xml:space="preserve">PW.1; RV.2</t>
  </si>
  <si>
    <t xml:space="preserve">Targeted risk analysis (not numbered in th...; Vulnerability scanning (not numbered; 11.3...</t>
  </si>
  <si>
    <t xml:space="preserve">Categorising AI system risk; Continuous monitoring and rapid triage</t>
  </si>
  <si>
    <t xml:space="preserve">Action 1; Action 5</t>
  </si>
  <si>
    <t xml:space="preserve">O1; S5</t>
  </si>
  <si>
    <t xml:space="preserve">E1c; E8; E17</t>
  </si>
  <si>
    <t xml:space="preserve">UK5; UK6; UK13</t>
  </si>
  <si>
    <t xml:space="preserve">US5; US8; US12; US15; US16</t>
  </si>
  <si>
    <t xml:space="preserve">IN5; IN6</t>
  </si>
  <si>
    <t xml:space="preserve">JP3; JP6</t>
  </si>
  <si>
    <t xml:space="preserve">MAS 1.6, 2.1 to 2.2; MAS 3.1 to 3.4; MAS 4.10 to 4.13; SG1; SG2; SG5</t>
  </si>
  <si>
    <t xml:space="preserve">KR3; KR4</t>
  </si>
  <si>
    <t xml:space="preserve">Board and senior management accountability: t; HK1; Risk-commensurate management: materiality and</t>
  </si>
  <si>
    <t xml:space="preserve">AIR-OP-017; AIR-RC-022</t>
  </si>
  <si>
    <t xml:space="preserve">01 Audit and assurance; 01 Roles and accountability; 03 Privacy and consent; 03 Retention and disposal; 04 Accuracy and validation; 04 Explainability; 04 Reproducibility and documentation; 07 Incident management; 07 Monitoring and observability; 08 Regulatory compliance; 12 Action integrity and traceability</t>
  </si>
  <si>
    <t xml:space="preserve">GOVERN 1.5; MANAGE 4.2; MEASURE 1.2; MEASURE 1.3</t>
  </si>
  <si>
    <t xml:space="preserve">Clause 9.1; Clause 9.2; Clause 9.3; Clause 10.2</t>
  </si>
  <si>
    <t xml:space="preserve">A.5.33; A.5.35; A.5.36</t>
  </si>
  <si>
    <t xml:space="preserve">Access to the documentation of the organizati; Maintaining certification</t>
  </si>
  <si>
    <t xml:space="preserve">GV.OV; ID.IM</t>
  </si>
  <si>
    <t xml:space="preserve">CC4.1; CC4.2</t>
  </si>
  <si>
    <t xml:space="preserve">O1; U5; U12</t>
  </si>
  <si>
    <t xml:space="preserve">US6; US14; US15</t>
  </si>
  <si>
    <t xml:space="preserve">IN6; IN7</t>
  </si>
  <si>
    <t xml:space="preserve">MAS 5.17; MAS 5.18 to 5.21; MAS 5.24; SG3; SG5</t>
  </si>
  <si>
    <t xml:space="preserve">AIR-OP-004; AIR-OP-016; AIR-OP-020</t>
  </si>
  <si>
    <t xml:space="preserve">AIR-DET-013; AIR-DET-015</t>
  </si>
  <si>
    <t xml:space="preserve">04 Accuracy and validation; 06 Bias and fairness; 06 Harmful / inaccurate output; 06 Human agency and over-reliance; 06 Misuse and dual-use; 06 Transparency, disclosure and provenance</t>
  </si>
  <si>
    <t xml:space="preserve">MAP 2.2; MEASURE 2.5; MEASURE 2.6</t>
  </si>
  <si>
    <t xml:space="preserve">CBRN Information or Capabilities; Confabulation; Dangerous, Violent, or Hateful Content; Information Integrity; Obscene, Degrading, and/or Abusive Content</t>
  </si>
  <si>
    <t xml:space="preserve">AML.T0048; AML.T0060; AML.T0062</t>
  </si>
  <si>
    <t xml:space="preserve">AML.M0020; AML.M0022</t>
  </si>
  <si>
    <t xml:space="preserve">A.6.2.4; A.8.2</t>
  </si>
  <si>
    <t xml:space="preserve">8.4 to 8.6; 9.2, 9.3</t>
  </si>
  <si>
    <t xml:space="preserve">PI1.3; PI1.4</t>
  </si>
  <si>
    <t xml:space="preserve">Art. 8; Art. 12</t>
  </si>
  <si>
    <t xml:space="preserve">Action 3; Action 7</t>
  </si>
  <si>
    <t xml:space="preserve">Q3; S2; U3; U4</t>
  </si>
  <si>
    <t xml:space="preserve">E1c; E1d; E10; E16</t>
  </si>
  <si>
    <t xml:space="preserve">UK1; UK7; UK11</t>
  </si>
  <si>
    <t xml:space="preserve">US7; US11; US14</t>
  </si>
  <si>
    <t xml:space="preserve">AU2; AU6; AU6a</t>
  </si>
  <si>
    <t xml:space="preserve">CA4; CA5; CA7</t>
  </si>
  <si>
    <t xml:space="preserve">CN1; CN2; CN3; CN4; CN6</t>
  </si>
  <si>
    <t xml:space="preserve">IN4; IN9</t>
  </si>
  <si>
    <t xml:space="preserve">MAS 5.5 to 5.6; MAS 5.14 to 5.15; SG1; SG3; SG5</t>
  </si>
  <si>
    <t xml:space="preserve">AIR-OP-005; AIR-OP-006; AIR-OP-007</t>
  </si>
  <si>
    <t xml:space="preserve">04 Robustness and drift; 06 Transparency, disclosure and provenance; 07 Availability and scalability; 07 Change and lifecycle management; 07 MLOps and deployment; 09 Foundation-model dependence; 09 Lock-in and portability; 10 Deskilling and loss of institutional knowledge; 10 Skills and talent; 11 Scaling and resource constraints</t>
  </si>
  <si>
    <t xml:space="preserve">GOVERN 6.2; MANAGE 2.3; MEASURE 2.7</t>
  </si>
  <si>
    <t xml:space="preserve">A.4.5; A.6.2.6</t>
  </si>
  <si>
    <t xml:space="preserve">A.5.29; A.5.30; A.8.6; A.8.13; A.8.14</t>
  </si>
  <si>
    <t xml:space="preserve">PR.IR; RC.RP</t>
  </si>
  <si>
    <t xml:space="preserve">A1.1; A1.2; A1.3; CC9.1</t>
  </si>
  <si>
    <t xml:space="preserve">MAS 5.3; MAS 5.10 to 5.11; MAS 6.3; SG5</t>
  </si>
  <si>
    <t xml:space="preserve">AIR-OP-004; AIR-OP-016; AIR-OP-017</t>
  </si>
  <si>
    <t xml:space="preserve">04 Accuracy and validation; 04 Explainability; 04 Reproducibility and documentation; 06 Bias and fairness; 06 Harmful / inaccurate output; 06 Misuse and dual-use</t>
  </si>
  <si>
    <t xml:space="preserve">MAP 5.1; MEASURE 2.9; MEASURE 2.11</t>
  </si>
  <si>
    <t xml:space="preserve">A.5.4; A.6.2.4; A.8.2; A.10.4</t>
  </si>
  <si>
    <t xml:space="preserve">Diversity, non-discrimination and fairness; Transparency</t>
  </si>
  <si>
    <t xml:space="preserve">Fairness and non-discrimination; Transparency and explainability</t>
  </si>
  <si>
    <t xml:space="preserve">IEEE 7001-2021; IEEE 7003-2024</t>
  </si>
  <si>
    <t xml:space="preserve">Q3; Q4; S2; U4; U6; U9</t>
  </si>
  <si>
    <t xml:space="preserve">UK1; UK3; UK4; UK12; UK13</t>
  </si>
  <si>
    <t xml:space="preserve">US5; US8; US10; US11; US12; US15; US16</t>
  </si>
  <si>
    <t xml:space="preserve">IN4; IN5</t>
  </si>
  <si>
    <t xml:space="preserve">MAS 5.5 to 5.6; MAS 5.7 to 5.8; MAS 5.14 to 5.15; SG5; SG6</t>
  </si>
  <si>
    <t xml:space="preserve">Ethical use and fair treatment: no unfair bia; Explainability and transparency: document exp; HK1; HK3; HK4</t>
  </si>
  <si>
    <t xml:space="preserve">AIR-OP-004; AIR-RC-001; AIR-RC-022</t>
  </si>
  <si>
    <t xml:space="preserve">01 Risk-management integration; 01 Roles and accountability; 03 Privacy and consent; 03 Retention and disposal; 04 Accuracy and validation; 06 Harmful / inaccurate output; 06 Misuse and dual-use; 08 Cross-border; 08 IP and liability; 08 Regulatory compliance; 10 Societal and reputational</t>
  </si>
  <si>
    <t xml:space="preserve">GOVERN 1.1; MAP 1.1; MAP 5.1</t>
  </si>
  <si>
    <t xml:space="preserve">A.5.2; A.5.3; A.5.4; A.5.5</t>
  </si>
  <si>
    <t xml:space="preserve">A.5.8; A.5.31; A.5.34</t>
  </si>
  <si>
    <t xml:space="preserve">5.4, 5.12; AI system information, including intended and; Actual and reasonably foreseeable impacts, in; Approval process; Data information and quality; Deployment environment (geography, languages,; Measures to address harms and benefits; Relevant interested parties</t>
  </si>
  <si>
    <t xml:space="preserve">GV.OC; ID.RA</t>
  </si>
  <si>
    <t xml:space="preserve">IEEE 7000-2021; IEEE 7002-2022</t>
  </si>
  <si>
    <t xml:space="preserve">Art. 7; Art. 16</t>
  </si>
  <si>
    <t xml:space="preserve">03 Privacy and consent; 04 Reproducibility and documentation; 07 Incident management; 07 Monitoring and observability; 08 Cross-border; 12 Action integrity and traceability</t>
  </si>
  <si>
    <t xml:space="preserve">GOVERN 1.1; GOVERN 5.1</t>
  </si>
  <si>
    <t xml:space="preserve">A.8.3; A.8.5</t>
  </si>
  <si>
    <t xml:space="preserve">A.5.5; A.5.6; A.5.31</t>
  </si>
  <si>
    <t xml:space="preserve">GV.OC; RS.CO</t>
  </si>
  <si>
    <t xml:space="preserve">01 Governance and oversight; 06 Human agency and over-reliance; 07 MLOps and deployment; 10 Deskilling and loss of institutional knowledge; 10 Skills and talent; 10 Workforce disruption / change; 12 Autonomy, alignment and oversight</t>
  </si>
  <si>
    <t xml:space="preserve">GOVERN 2.2; MAP 3.4</t>
  </si>
  <si>
    <t xml:space="preserve">Clause 7.2; Clause 7.3</t>
  </si>
  <si>
    <t xml:space="preserve">CC1.4; CC2.2</t>
  </si>
  <si>
    <t xml:space="preserve">MAS 2.3 to 2.5; MAS 3.5; MAS 6.1 to 6.2; SG5</t>
  </si>
  <si>
    <t xml:space="preserve">AIR-OP-004; AIR-OP-014; AIR-OP-016; AIR-OP-018; AIR-RC-022; AIR-SEC-024</t>
  </si>
  <si>
    <t xml:space="preserve">AIR-DET-011; AIR-PREV-024</t>
  </si>
  <si>
    <t xml:space="preserve">01 Governance and oversight; 01 Roles and accountability; 02 Use-case selection and sourcing; 03 Privacy and consent; 04 Accuracy and validation; 05 Output and integration security; 06 Bias and fairness; 06 Harmful / inaccurate output; 06 Human agency and over-reliance; 06 Misuse and dual-use; 06 Transparency, disclosure and provenance; 08 IP and liability; 08 Regulatory compliance; 10 Deskilling and loss of institutional knowledge; 10 Skills and talent; 12 Action integrity and traceability; 12 Autonomy, alignment and oversight; 12 Tool access and authorization</t>
  </si>
  <si>
    <t xml:space="preserve">Confabulation; Human-AI Configuration</t>
  </si>
  <si>
    <t xml:space="preserve">CM.3; TR.2</t>
  </si>
  <si>
    <t xml:space="preserve">AI in "individual" and "user" roles; Human in the loop or over the loop; Limits of AI use; Reliability and failure handling</t>
  </si>
  <si>
    <t xml:space="preserve">14, 15; Art. 7; Art. 8</t>
  </si>
  <si>
    <t xml:space="preserve">MAS 5.9; SG5</t>
  </si>
  <si>
    <t xml:space="preserve">HK1; HK3; HK6; Use-case owners and human oversight: a named </t>
  </si>
  <si>
    <t xml:space="preserve">03 Training-data rights and IP; 08 IP and liability</t>
  </si>
  <si>
    <t xml:space="preserve">A.7.5; A.10.3</t>
  </si>
  <si>
    <t xml:space="preserve">A.5.20; A.5.31; A.5.32</t>
  </si>
  <si>
    <t xml:space="preserve">Items mapped</t>
  </si>
  <si>
    <t xml:space="preserve">Risk to Control Mapping (wiki)</t>
  </si>
  <si>
    <t xml:space="preserve">Which controls mitigate each register risk, with the evidence the wiki expects and the implementation state of those controls.</t>
  </si>
  <si>
    <t xml:space="preserve">Risk ID</t>
  </si>
  <si>
    <t xml:space="preserve">Risk</t>
  </si>
  <si>
    <t xml:space="preserve">Control Domain</t>
  </si>
  <si>
    <t xml:space="preserve">Evidence</t>
  </si>
  <si>
    <t xml:space="preserve">AI-R01</t>
  </si>
  <si>
    <t xml:space="preserve">Critical Infrastructure Information Exposure</t>
  </si>
  <si>
    <t xml:space="preserve">Prompt inspection; file upload protection; classification-aware enforcement</t>
  </si>
  <si>
    <t xml:space="preserve">AI-CTRL-002, AI-CTRL-003, AI-CTRL-010, AI-CTRL-017</t>
  </si>
  <si>
    <t xml:space="preserve">Prompt logs; upload block logs; data classification policy; SOC alerts</t>
  </si>
  <si>
    <t xml:space="preserve">Shadow AI and Ungoverned AI Usage</t>
  </si>
  <si>
    <t xml:space="preserve">AI discovery; application risk classification; policy enforcement</t>
  </si>
  <si>
    <t xml:space="preserve">AI-CTRL-001, AI-CTRL-010, AI-CTRL-011, AI-CTRL-012, AI-CTRL-037, AI-CTRL-044</t>
  </si>
  <si>
    <t xml:space="preserve">AI inventory; shadow AI reports; user activity dashboard</t>
  </si>
  <si>
    <t xml:space="preserve">AI-R03</t>
  </si>
  <si>
    <t xml:space="preserve">Sensitive Data Leakage Through Prompts and Uploads</t>
  </si>
  <si>
    <t xml:space="preserve">Sensitive data detection; redaction; block/warn policy</t>
  </si>
  <si>
    <t xml:space="preserve">AI-CTRL-002, AI-CTRL-003, AI-CTRL-010, AI-CTRL-012, AI-CTRL-013, AI-CTRL-017, AI-CTRL-021</t>
  </si>
  <si>
    <t xml:space="preserve">DLP events; AI prompt detections; policy screenshots</t>
  </si>
  <si>
    <t xml:space="preserve">AI-R04</t>
  </si>
  <si>
    <t xml:space="preserve">IDE-Based Source Code and Credential Exposure</t>
  </si>
  <si>
    <t xml:space="preserve">IDE discovery; source code protection; secret detection</t>
  </si>
  <si>
    <t xml:space="preserve">IDE inventory; secret detection log; developer policy evidence</t>
  </si>
  <si>
    <t xml:space="preserve">Prompt Injection Against Custom AI Applications</t>
  </si>
  <si>
    <t xml:space="preserve">Prompt injection detection; runtime inspection; RAG validation</t>
  </si>
  <si>
    <t xml:space="preserve">Red team report; runtime logs; guardrail evidence</t>
  </si>
  <si>
    <t xml:space="preserve">AI Output Leakage and Oversharing</t>
  </si>
  <si>
    <t xml:space="preserve">Output inspection; retrieval governance; source-document logging</t>
  </si>
  <si>
    <t xml:space="preserve">Response logs; retrieval logs; permission validation evidence</t>
  </si>
  <si>
    <t xml:space="preserve">AI Agent and Tool-Calling Abuse</t>
  </si>
  <si>
    <t xml:space="preserve">Agent identity; tool governance; approvals; action logging</t>
  </si>
  <si>
    <t xml:space="preserve">Agent registry; API/tool matrix; approval logs; SIEM events</t>
  </si>
  <si>
    <t xml:space="preserve">AI Supply Chain and Model Integrity Risk</t>
  </si>
  <si>
    <t xml:space="preserve">AI asset inventory; model inventory; plugin governance; dependency scanning; least-privilege workload identities</t>
  </si>
  <si>
    <t xml:space="preserve">AI BOM; model registry; vulnerability reports</t>
  </si>
  <si>
    <t xml:space="preserve">Lack of AI Auditability and Forensic Visibility</t>
  </si>
  <si>
    <t xml:space="preserve">Audit logging; SIEM integration; retention controls</t>
  </si>
  <si>
    <t xml:space="preserve">Exportable audit records; SIEM event IDs; retention policy</t>
  </si>
  <si>
    <t xml:space="preserve">Data Sovereignty and Third-Party Processing Risk</t>
  </si>
  <si>
    <t xml:space="preserve">Residency; retention; training exclusion; admin access logging</t>
  </si>
  <si>
    <t xml:space="preserve">Vendor documentation; DPA clauses; residency attestation; admin logs</t>
  </si>
  <si>
    <t xml:space="preserve">AI Cost Abuse and Resource Exhaustion</t>
  </si>
  <si>
    <t xml:space="preserve">Cost attribution; budgets, quotas and rate limits; spend anomaly detection; agent task limits</t>
  </si>
  <si>
    <t xml:space="preserve">Cost attribution reports; budget and quota configuration; anomaly alerts; key revocation records</t>
  </si>
  <si>
    <t xml:space="preserve">Unreliable or Harmful AI Output</t>
  </si>
  <si>
    <t xml:space="preserve">Grounding and citation verification; topic restriction; harmful content filtering; factuality evaluation</t>
  </si>
  <si>
    <t xml:space="preserve">Grounding test results; topic policy; content filter results; factuality baseline</t>
  </si>
  <si>
    <t xml:space="preserve">AI Service Disruption and Dependency Failure</t>
  </si>
  <si>
    <t xml:space="preserve">Defined fail modes; resilient failover; continuity and exit planning; control health monitoring</t>
  </si>
  <si>
    <t xml:space="preserve">Fail-mode test results; failover and restore tests; continuity and exit plans; health alerts</t>
  </si>
  <si>
    <t xml:space="preserve">Biased or Discriminatory AI Outcomes</t>
  </si>
  <si>
    <t xml:space="preserve">Group-level fairness testing; proxy review; oversight of adverse outcomes</t>
  </si>
  <si>
    <t xml:space="preserve">Fairness metric definitions; results by group; threshold approvals</t>
  </si>
  <si>
    <t xml:space="preserve">Lack of Explainability and Decision Traceability</t>
  </si>
  <si>
    <t xml:space="preserve">Decision records; explanation templates; retention</t>
  </si>
  <si>
    <t xml:space="preserve">Decision records; sample reconstructions; retention configuration</t>
  </si>
  <si>
    <t xml:space="preserve">Foundation Model Version Change and Non-Deterministic Behaviour</t>
  </si>
  <si>
    <t xml:space="preserve">Model version pinning; regression on change; rollback</t>
  </si>
  <si>
    <t xml:space="preserve">Model inventory with versions; regression results; rollback test</t>
  </si>
  <si>
    <t xml:space="preserve">Data Quality Degradation and Model Drift</t>
  </si>
  <si>
    <t xml:space="preserve">Quality baselines; freshness limits; drift monitoring</t>
  </si>
  <si>
    <t xml:space="preserve">Baselines; drift alerts and actions; source ownership records</t>
  </si>
  <si>
    <t xml:space="preserve">Model Overreach and Use Beyond Approved Purpose</t>
  </si>
  <si>
    <t xml:space="preserve">Purpose statements; change triggers; use monitoring</t>
  </si>
  <si>
    <t xml:space="preserve">Approved purpose records; change-trigger logs; reassessment records</t>
  </si>
  <si>
    <t xml:space="preserve">AI-R19</t>
  </si>
  <si>
    <t xml:space="preserve">Insufficient or Ineffective Human Oversight</t>
  </si>
  <si>
    <t xml:space="preserve">Oversight design by tier; reviewer authority and training; effectiveness measures</t>
  </si>
  <si>
    <t xml:space="preserve">AI-CTRL-012, AI-CTRL-023, AI-CTRL-044, AI-CTRL-045</t>
  </si>
  <si>
    <t xml:space="preserve">Oversight design records; reviewer authority and training records; override metrics</t>
  </si>
  <si>
    <t xml:space="preserve">Reputational Harm from AI Behaviour</t>
  </si>
  <si>
    <t xml:space="preserve">Content safety; adversarial testing; public incident response</t>
  </si>
  <si>
    <t xml:space="preserve">Filter results; red team reports; communications playbook</t>
  </si>
  <si>
    <t xml:space="preserve">Agent Memory and State Persistence Poisoning</t>
  </si>
  <si>
    <t xml:space="preserve">Memory integrity; provenance; purge and isolation</t>
  </si>
  <si>
    <t xml:space="preserve">Memory configuration; purge tests; provenance logs</t>
  </si>
  <si>
    <t xml:space="preserve">Credential exposure prevention; scoped short-lived tokens; canaries</t>
  </si>
  <si>
    <t xml:space="preserve">Runtime configuration review; canary alert tests; credential issuance logs</t>
  </si>
  <si>
    <t xml:space="preserve">Skill, Plugin and MCP Server Supply Chain Compromise</t>
  </si>
  <si>
    <t xml:space="preserve">Skill, plugin and MCP governance; AI-BOM</t>
  </si>
  <si>
    <t xml:space="preserve">Allowlist; review records; pinning configuration</t>
  </si>
  <si>
    <t xml:space="preserve">Sequence authorisation; tool I/O validation; runtime inspection</t>
  </si>
  <si>
    <t xml:space="preserve">Tool permission matrix with sequence rules; multi-step test results</t>
  </si>
  <si>
    <t xml:space="preserve">Multi-Agent Trust Boundary Violation</t>
  </si>
  <si>
    <t xml:space="preserve">Agent trust map; identity; containment; isolation</t>
  </si>
  <si>
    <t xml:space="preserve">Agent trust map; inter-agent request logs</t>
  </si>
  <si>
    <t xml:space="preserve">AI-R26</t>
  </si>
  <si>
    <t xml:space="preserve">Reasoning Trace and Intermediate Output Exposure</t>
  </si>
  <si>
    <t xml:space="preserve">Trace classification; display and logging rules; leakage tests</t>
  </si>
  <si>
    <t xml:space="preserve">AI-CTRL-008, AI-CTRL-020</t>
  </si>
  <si>
    <t xml:space="preserve">Classification decision; display configuration; leakage tests</t>
  </si>
  <si>
    <t xml:space="preserve">Intellectual Property and Copyright Infringement</t>
  </si>
  <si>
    <t xml:space="preserve">IP policy; vendor terms review; provenance; output scanning</t>
  </si>
  <si>
    <t xml:space="preserve">Policy; vendor terms review; training data provenance; scan results</t>
  </si>
  <si>
    <t xml:space="preserve">Regulatory Non-Compliance from Unsupervised AI Decisions</t>
  </si>
  <si>
    <t xml:space="preserve">Obligation register; impact assessment; decision records; oversight</t>
  </si>
  <si>
    <t xml:space="preserve">Obligation register; supervision records; impact assessments</t>
  </si>
  <si>
    <t xml:space="preserve">Unrealised AI Value and Misaligned AI Strategy</t>
  </si>
  <si>
    <t xml:space="preserve">Business case and success measure; stage gates; value review</t>
  </si>
  <si>
    <t xml:space="preserve">Use-case business cases; stage-gate decisions; post-implementation value reviews</t>
  </si>
  <si>
    <t xml:space="preserve">AI Cost Volatility and Stranded Investment</t>
  </si>
  <si>
    <t xml:space="preserve">Cost forecasting and attribution; contract price terms; funding decision points</t>
  </si>
  <si>
    <t xml:space="preserve">AI-CTRL-036, AI-CTRL-014, AI-CTRL-037</t>
  </si>
  <si>
    <t xml:space="preserve">Cost forecasts against actuals; contract price-change clauses; insurance wording review</t>
  </si>
  <si>
    <t xml:space="preserve">Model Provider Concentration, Lock-in and Deprecation</t>
  </si>
  <si>
    <t xml:space="preserve">Provider dependency record; exit provisions; migration planning; deprecation tracking</t>
  </si>
  <si>
    <t xml:space="preserve">Provider and model dependency map; exit plans; migration test; deprecation notice log</t>
  </si>
  <si>
    <t xml:space="preserve">AI-R32</t>
  </si>
  <si>
    <t xml:space="preserve">Model Monoculture and Correlated Failure</t>
  </si>
  <si>
    <t xml:space="preserve">Base-model inventory; independent checks on a different model or method; shared-error evaluation</t>
  </si>
  <si>
    <t xml:space="preserve">AI-CTRL-011, AI-CTRL-031, AI-CTRL-034</t>
  </si>
  <si>
    <t xml:space="preserve">Inventory showing base model per system; design records for independent checks; evaluation results</t>
  </si>
  <si>
    <t xml:space="preserve">Workforce Deskilling and Loss of Institutional Knowledge</t>
  </si>
  <si>
    <t xml:space="preserve">Manual competence and fallback; documentation of prompts and configuration</t>
  </si>
  <si>
    <t xml:space="preserve">AI-CTRL-044, AI-CTRL-040, AI-CTRL-045</t>
  </si>
  <si>
    <t xml:space="preserve">Competence records; fallback drill results; system documentation</t>
  </si>
  <si>
    <t xml:space="preserve">Workforce Change Failure and Skills Shortage</t>
  </si>
  <si>
    <t xml:space="preserve">Change planning; staff consultation; literacy and role-based training</t>
  </si>
  <si>
    <t xml:space="preserve">AI-CTRL-044, AI-CTRL-012</t>
  </si>
  <si>
    <t xml:space="preserve">Change plans; consultation records; training completion; adoption measures</t>
  </si>
  <si>
    <t xml:space="preserve">Unmeasured Energy and Water Use of AI</t>
  </si>
  <si>
    <t xml:space="preserve">Usage attribution as the basis for an energy estimate</t>
  </si>
  <si>
    <t xml:space="preserve">Energy estimates per system; sustainability reporting inputs</t>
  </si>
  <si>
    <t xml:space="preserve">AI-R36</t>
  </si>
  <si>
    <t xml:space="preserve">AI Output Ownership and Model Licence Breach</t>
  </si>
  <si>
    <t xml:space="preserve">Model licence register; output ownership terms; legal review</t>
  </si>
  <si>
    <t xml:space="preserve">AI-CTRL-046, AI-CTRL-031, AI-CTRL-014</t>
  </si>
  <si>
    <t xml:space="preserve">Licence register; vendor terms review; legal advice records</t>
  </si>
  <si>
    <t xml:space="preserve">AI-R37</t>
  </si>
  <si>
    <t xml:space="preserve">Provider Obligations Triggered by Modifying a Model</t>
  </si>
  <si>
    <t xml:space="preserve">Role classification repeated on change; legal review of obligations</t>
  </si>
  <si>
    <t xml:space="preserve">AI-CTRL-011, AI-CTRL-013, AI-CTRL-037</t>
  </si>
  <si>
    <t xml:space="preserve">Role classification records; change-trigger logs; legal review</t>
  </si>
  <si>
    <t xml:space="preserve">AI-R38</t>
  </si>
  <si>
    <t xml:space="preserve">AI Records Not Preserved for Legal Hold and Discovery</t>
  </si>
  <si>
    <t xml:space="preserve">Retention schedule for AI records; legal hold; search across stores</t>
  </si>
  <si>
    <t xml:space="preserve">AI-CTRL-008, AI-CTRL-038, AI-CTRL-035</t>
  </si>
  <si>
    <t xml:space="preserve">Retention schedule; legal hold procedure; search test results</t>
  </si>
  <si>
    <t xml:space="preserve">AI-R39</t>
  </si>
  <si>
    <t xml:space="preserve">Missing Independent Model Validation</t>
  </si>
  <si>
    <t xml:space="preserve">Independent validation; representative test data; revalidation on change</t>
  </si>
  <si>
    <t xml:space="preserve">AI-CTRL-033, AI-CTRL-034, AI-CTRL-038</t>
  </si>
  <si>
    <t xml:space="preserve">Independent validation reports; test data rationale; revalidation records</t>
  </si>
  <si>
    <t xml:space="preserve">AI-R40</t>
  </si>
  <si>
    <t xml:space="preserve">AI Output Relied On in Financial Reporting Controls</t>
  </si>
  <si>
    <t xml:space="preserve">Control owner and auditor notification; record of AI-produced outputs; testing of the AI step</t>
  </si>
  <si>
    <t xml:space="preserve">AI-CTRL-038, AI-CTRL-011, AI-CTRL-008</t>
  </si>
  <si>
    <t xml:space="preserve">Scope change records; output provenance records; control test results</t>
  </si>
  <si>
    <t xml:space="preserve">AI-R41</t>
  </si>
  <si>
    <t xml:space="preserve">AI-Washing and Unverified AI Capability Claims</t>
  </si>
  <si>
    <t xml:space="preserve">Review of external AI claims; testing of vendor claims</t>
  </si>
  <si>
    <t xml:space="preserve">AI-CTRL-012, AI-CTRL-014, AI-CTRL-039</t>
  </si>
  <si>
    <t xml:space="preserve">Claims review records; vendor evaluation test results</t>
  </si>
  <si>
    <t xml:space="preserve">AI-R42</t>
  </si>
  <si>
    <t xml:space="preserve">Anthropomorphism and Emotional Dependence</t>
  </si>
  <si>
    <t xml:space="preserve">Persona and disclosure design; vulnerable-user safeguards; dependence monitoring</t>
  </si>
  <si>
    <t xml:space="preserve">AI-CTRL-045, AI-CTRL-039, AI-CTRL-012</t>
  </si>
  <si>
    <t xml:space="preserve">Design review records; disclosure text; safeguard tests; monitoring reports</t>
  </si>
  <si>
    <t xml:space="preserve">AI-R43</t>
  </si>
  <si>
    <t xml:space="preserve">Hallucinated Package Dependencies</t>
  </si>
  <si>
    <t xml:space="preserve">Approved registry or proxy; package existence checks; dependency scanning</t>
  </si>
  <si>
    <t xml:space="preserve">AI-CTRL-031, AI-CTRL-004, AI-CTRL-033</t>
  </si>
  <si>
    <t xml:space="preserve">Registry configuration; blocked install logs; release gate scan results</t>
  </si>
  <si>
    <t xml:space="preserve">AI-R44</t>
  </si>
  <si>
    <t xml:space="preserve">Safety Training Removed from Self-Hosted Models</t>
  </si>
  <si>
    <t xml:space="preserve">Weight provenance; safety evaluation before deployment and after fine-tuning; lineage in the AI-BOM</t>
  </si>
  <si>
    <t xml:space="preserve">AI-CTRL-031, AI-CTRL-034, AI-CTRL-033</t>
  </si>
  <si>
    <t xml:space="preserve">Provenance records; refusal and safety evaluation results; AI-BOM entries</t>
  </si>
  <si>
    <t xml:space="preserve">AI-R45</t>
  </si>
  <si>
    <t xml:space="preserve">Agent Activity Indistinguishable from Attack</t>
  </si>
  <si>
    <t xml:space="preserve">Distinct agent identity in telemetry; task authorisation records; context-aware detection</t>
  </si>
  <si>
    <t xml:space="preserve">AI-CTRL-015, AI-CTRL-008, AI-CTRL-009</t>
  </si>
  <si>
    <t xml:space="preserve">Agent identity in logs; authorisation records; detection rule tests</t>
  </si>
  <si>
    <t xml:space="preserve">AI-R46</t>
  </si>
  <si>
    <t xml:space="preserve">Insider Use of Agents to Exceed Own Access</t>
  </si>
  <si>
    <t xml:space="preserve">Agent acts with the requesting user's permissions; entitlement checks per action; dual-identity logging</t>
  </si>
  <si>
    <t xml:space="preserve">AI-CTRL-015, AI-CTRL-016, AI-CTRL-006</t>
  </si>
  <si>
    <t xml:space="preserve">Delegation design; entitlement check tests; logs naming user and agent</t>
  </si>
  <si>
    <t xml:space="preserve">AI-R47</t>
  </si>
  <si>
    <t xml:space="preserve">Model Extraction and Inference Attacks</t>
  </si>
  <si>
    <t xml:space="preserve">Rate limits and query-pattern detection; limits on output detail; extraction and membership inference testing</t>
  </si>
  <si>
    <t xml:space="preserve">AI-CTRL-028, AI-CTRL-036, AI-CTRL-009, AI-CTRL-034</t>
  </si>
  <si>
    <t xml:space="preserve">Rate limit settings; query-pattern alerts; extraction and inference test results</t>
  </si>
  <si>
    <t xml:space="preserve">AI-R48</t>
  </si>
  <si>
    <t xml:space="preserve">AI Incidents Not Recognised or Handled</t>
  </si>
  <si>
    <t xml:space="preserve">AI incident categories and severity; AI alert routing; evidence preservation; AI scenario exercises; reporting duties</t>
  </si>
  <si>
    <t xml:space="preserve">AI-CTRL-035, AI-CTRL-009, AI-CTRL-043, AI-CTRL-008</t>
  </si>
  <si>
    <t xml:space="preserve">Response plan with AI categories; triage records; exercise reports; authority notification log</t>
  </si>
  <si>
    <t xml:space="preserve">AI-R49</t>
  </si>
  <si>
    <t xml:space="preserve">Personal Data That Cannot Be Removed from Models</t>
  </si>
  <si>
    <t xml:space="preserve">Personal data mapped in training and retrieval stores; data subject requests covering models; filtering or retraining decisions</t>
  </si>
  <si>
    <t xml:space="preserve">AI-CTRL-013, AI-CTRL-017, AI-CTRL-029, AI-CTRL-042</t>
  </si>
  <si>
    <t xml:space="preserve">Data maps for training and retrieval; request handling records; impact assessments; retraining decisions</t>
  </si>
  <si>
    <t xml:space="preserve">AI-R50</t>
  </si>
  <si>
    <t xml:space="preserve">Training-Serving Skew and Unreproducible Models</t>
  </si>
  <si>
    <t xml:space="preserve">Shared feature definitions; versioned data, code and settings; production-to-evaluation input checks; rebuild test</t>
  </si>
  <si>
    <t xml:space="preserve">AI-CTRL-030, AI-CTRL-034, AI-CTRL-008, AI-CTRL-033</t>
  </si>
  <si>
    <t xml:space="preserve">Model lineage records; input distribution comparisons; rebuild test results</t>
  </si>
  <si>
    <t xml:space="preserve">AI-R51</t>
  </si>
  <si>
    <t xml:space="preserve">Liability for Harm Caused by AI Decisions</t>
  </si>
  <si>
    <t xml:space="preserve">Impact assessment of who could be harmed; oversight sized to harm; liability and indemnity terms; risk acceptance</t>
  </si>
  <si>
    <t xml:space="preserve">AI-CTRL-042, AI-CTRL-045, AI-CTRL-014, AI-CTRL-037</t>
  </si>
  <si>
    <t xml:space="preserve">Impact assessments; oversight design records; contract terms; acceptance records</t>
  </si>
  <si>
    <t xml:space="preserve">AI-R52</t>
  </si>
  <si>
    <t xml:space="preserve">Unmaintained Open-Source AI Components</t>
  </si>
  <si>
    <t xml:space="preserve">Maintenance status in the AI-BOM; release-gate check for end-of-life components; replacement plans</t>
  </si>
  <si>
    <t xml:space="preserve">AI-CTRL-031, AI-CTRL-033, AI-CTRL-030</t>
  </si>
  <si>
    <t xml:space="preserve">AI-BOM with maintenance status; release-gate findings; replacement plans</t>
  </si>
  <si>
    <t xml:space="preserve">AI-R53</t>
  </si>
  <si>
    <t xml:space="preserve">Unlabelled AI-Generated Content</t>
  </si>
  <si>
    <t xml:space="preserve">Machine-readable marking; visible labels; marking survival test; jurisdiction labelling register</t>
  </si>
  <si>
    <t xml:space="preserve">AI-CTRL-039, AI-CTRL-020, AI-CTRL-013</t>
  </si>
  <si>
    <t xml:space="preserve">Marking configuration; label screenshots; survival test results; labelling requirement register</t>
  </si>
  <si>
    <t xml:space="preserve">AI-R54</t>
  </si>
  <si>
    <t xml:space="preserve">Agent Actions Others Cannot Identify as AI</t>
  </si>
  <si>
    <t xml:space="preserve">Agent and principal identified in outbound actions; external action records; compliance with other services' automation rules</t>
  </si>
  <si>
    <t xml:space="preserve">AI-CTRL-015, AI-CTRL-008, AI-CTRL-006</t>
  </si>
  <si>
    <t xml:space="preserve">Outbound message and request samples; external action logs; reviewed terms of service</t>
  </si>
  <si>
    <t xml:space="preserve">AI-Accelerated Exploitation and Patch Gap</t>
  </si>
  <si>
    <t xml:space="preserve">Remediation and exception time limits set for fast exploitation; triage sized for higher volume; blast-radius limits; governed AI agents for patching</t>
  </si>
  <si>
    <t xml:space="preserve">AI-CTRL-037, AI-CTRL-027, AI-CTRL-033, AI-CTRL-025</t>
  </si>
  <si>
    <t xml:space="preserve">Vulnerability remediation and exception time limits; triage capacity records; segmentation and isolation tests; change records for agent-made patches</t>
  </si>
  <si>
    <t xml:space="preserve">Status</t>
  </si>
  <si>
    <t xml:space="preserve">YesNo</t>
  </si>
  <si>
    <t xml:space="preserve">Effect</t>
  </si>
  <si>
    <t xml:space="preserve">Effective</t>
  </si>
  <si>
    <t xml:space="preserve">No</t>
  </si>
  <si>
    <t xml:space="preserve">Partially effective</t>
  </si>
  <si>
    <t xml:space="preserve">Ineffective</t>
  </si>
  <si>
    <t xml:space="preserve">Not tested</t>
  </si>
</sst>
</file>

<file path=xl/styles.xml><?xml version="1.0" encoding="utf-8"?>
<styleSheet xmlns="http://schemas.openxmlformats.org/spreadsheetml/2006/main">
  <numFmts count="4">
    <numFmt numFmtId="164" formatCode="General"/>
    <numFmt numFmtId="165" formatCode="General"/>
    <numFmt numFmtId="166" formatCode="yyyy\-mm\-dd"/>
    <numFmt numFmtId="167" formatCode="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595959"/>
      <name val="Arial"/>
      <family val="0"/>
      <charset val="1"/>
    </font>
    <font>
      <b val="true"/>
      <sz val="12"/>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i val="true"/>
      <sz val="9"/>
      <color rgb="FF595959"/>
      <name val="Arial"/>
      <family val="0"/>
      <charset val="1"/>
    </font>
    <font>
      <b val="true"/>
      <sz val="10"/>
      <color rgb="FFFFFFFF"/>
      <name val="Arial"/>
      <family val="0"/>
      <charset val="1"/>
    </font>
    <font>
      <b val="true"/>
      <sz val="10"/>
      <color rgb="FF1F3864"/>
      <name val="Arial"/>
      <family val="0"/>
      <charset val="1"/>
    </font>
    <font>
      <sz val="10"/>
      <name val="WenQuanYi Zen Hei"/>
      <family val="2"/>
    </font>
  </fonts>
  <fills count="31">
    <fill>
      <patternFill patternType="none"/>
    </fill>
    <fill>
      <patternFill patternType="gray125"/>
    </fill>
    <fill>
      <patternFill patternType="solid">
        <fgColor rgb="FFC00000"/>
        <bgColor rgb="FF800000"/>
      </patternFill>
    </fill>
    <fill>
      <patternFill patternType="solid">
        <fgColor rgb="FFFFFFFF"/>
        <bgColor rgb="FFF2F2F2"/>
      </patternFill>
    </fill>
    <fill>
      <patternFill patternType="solid">
        <fgColor rgb="FFFBEAEA"/>
        <bgColor rgb="FFEDEDED"/>
      </patternFill>
    </fill>
    <fill>
      <patternFill patternType="solid">
        <fgColor rgb="FF3A3A3A"/>
        <bgColor rgb="FF203864"/>
      </patternFill>
    </fill>
    <fill>
      <patternFill patternType="solid">
        <fgColor rgb="FF548235"/>
        <bgColor rgb="FF595959"/>
      </patternFill>
    </fill>
    <fill>
      <patternFill patternType="solid">
        <fgColor rgb="FFFF7C80"/>
        <bgColor rgb="FFFF6600"/>
      </patternFill>
    </fill>
    <fill>
      <patternFill patternType="solid">
        <fgColor rgb="FFFFEB9C"/>
        <bgColor rgb="FFFFF2CC"/>
      </patternFill>
    </fill>
    <fill>
      <patternFill patternType="solid">
        <fgColor rgb="FFFFD966"/>
        <bgColor rgb="FFFFEB9C"/>
      </patternFill>
    </fill>
    <fill>
      <patternFill patternType="solid">
        <fgColor rgb="FFC6EFCE"/>
        <bgColor rgb="FFE2EFDA"/>
      </patternFill>
    </fill>
    <fill>
      <patternFill patternType="solid">
        <fgColor rgb="FFD9D9D9"/>
        <bgColor rgb="FFE7E6E6"/>
      </patternFill>
    </fill>
    <fill>
      <patternFill patternType="solid">
        <fgColor rgb="FFBDD7EE"/>
        <bgColor rgb="FFD9D9D9"/>
      </patternFill>
    </fill>
    <fill>
      <patternFill patternType="solid">
        <fgColor rgb="FFE7E6E6"/>
        <bgColor rgb="FFEDEDED"/>
      </patternFill>
    </fill>
    <fill>
      <patternFill patternType="solid">
        <fgColor rgb="FFD9C3E9"/>
        <bgColor rgb="FFD9D9D9"/>
      </patternFill>
    </fill>
    <fill>
      <patternFill patternType="solid">
        <fgColor rgb="FFFCE4D6"/>
        <bgColor rgb="FFFBEAEA"/>
      </patternFill>
    </fill>
    <fill>
      <patternFill patternType="solid">
        <fgColor rgb="FF375623"/>
        <bgColor rgb="FF3A3A3A"/>
      </patternFill>
    </fill>
    <fill>
      <patternFill patternType="solid">
        <fgColor rgb="FF7F6000"/>
        <bgColor rgb="FF595959"/>
      </patternFill>
    </fill>
    <fill>
      <patternFill patternType="solid">
        <fgColor rgb="FF595959"/>
        <bgColor rgb="FF375623"/>
      </patternFill>
    </fill>
    <fill>
      <patternFill patternType="solid">
        <fgColor rgb="FFFFF2CC"/>
        <bgColor rgb="FFFCE4D6"/>
      </patternFill>
    </fill>
    <fill>
      <patternFill patternType="solid">
        <fgColor rgb="FFEEF5E9"/>
        <bgColor rgb="FFF2F2F2"/>
      </patternFill>
    </fill>
    <fill>
      <patternFill patternType="solid">
        <fgColor rgb="FFDDEBF7"/>
        <bgColor rgb="FFDAEEF3"/>
      </patternFill>
    </fill>
    <fill>
      <patternFill patternType="solid">
        <fgColor rgb="FFE2EFDA"/>
        <bgColor rgb="FFE7E6E6"/>
      </patternFill>
    </fill>
    <fill>
      <patternFill patternType="solid">
        <fgColor rgb="FFEDEDED"/>
        <bgColor rgb="FFF2F2F2"/>
      </patternFill>
    </fill>
    <fill>
      <patternFill patternType="solid">
        <fgColor rgb="FFEADFF5"/>
        <bgColor rgb="FFE7E6E6"/>
      </patternFill>
    </fill>
    <fill>
      <patternFill patternType="solid">
        <fgColor rgb="FFDAEEF3"/>
        <bgColor rgb="FFDDEBF7"/>
      </patternFill>
    </fill>
    <fill>
      <patternFill patternType="solid">
        <fgColor rgb="FF203864"/>
        <bgColor rgb="FF1F3864"/>
      </patternFill>
    </fill>
    <fill>
      <patternFill patternType="solid">
        <fgColor rgb="FF3A3A8C"/>
        <bgColor rgb="FF203864"/>
      </patternFill>
    </fill>
    <fill>
      <patternFill patternType="solid">
        <fgColor rgb="FFF2F2F2"/>
        <bgColor rgb="FFEEF3FA"/>
      </patternFill>
    </fill>
    <fill>
      <patternFill patternType="solid">
        <fgColor rgb="FF2F5597"/>
        <bgColor rgb="FF3A3A8C"/>
      </patternFill>
    </fill>
    <fill>
      <patternFill patternType="solid">
        <fgColor rgb="FFEEF3FA"/>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4" fillId="5" borderId="0" xfId="0" applyFont="true" applyBorder="false" applyAlignment="true" applyProtection="false">
      <alignment horizontal="general" vertical="center"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4" fillId="6" borderId="0" xfId="0" applyFont="true" applyBorder="false" applyAlignment="true" applyProtection="false">
      <alignment horizontal="general" vertical="center"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7" fillId="7" borderId="1" xfId="0" applyFont="true" applyBorder="true" applyAlignment="true" applyProtection="false">
      <alignment horizontal="center" vertical="top" textRotation="0" wrapText="true" indent="0" shrinkToFit="false"/>
      <protection locked="true" hidden="false"/>
    </xf>
    <xf numFmtId="164" fontId="7" fillId="8" borderId="1" xfId="0" applyFont="true" applyBorder="true" applyAlignment="true" applyProtection="false">
      <alignment horizontal="center" vertical="top" textRotation="0" wrapText="true" indent="0" shrinkToFit="false"/>
      <protection locked="true" hidden="false"/>
    </xf>
    <xf numFmtId="164" fontId="7" fillId="9" borderId="1" xfId="0" applyFont="true" applyBorder="true" applyAlignment="true" applyProtection="false">
      <alignment horizontal="center" vertical="top" textRotation="0" wrapText="true" indent="0" shrinkToFit="false"/>
      <protection locked="true" hidden="false"/>
    </xf>
    <xf numFmtId="164" fontId="7" fillId="10" borderId="1" xfId="0" applyFont="true" applyBorder="true" applyAlignment="true" applyProtection="false">
      <alignment horizontal="center" vertical="top" textRotation="0" wrapText="true" indent="0" shrinkToFit="false"/>
      <protection locked="true" hidden="false"/>
    </xf>
    <xf numFmtId="164" fontId="7" fillId="11" borderId="1" xfId="0" applyFont="true" applyBorder="true" applyAlignment="true" applyProtection="false">
      <alignment horizontal="center" vertical="top" textRotation="0" wrapText="true" indent="0" shrinkToFit="false"/>
      <protection locked="true" hidden="false"/>
    </xf>
    <xf numFmtId="164" fontId="7" fillId="12" borderId="1" xfId="0" applyFont="true" applyBorder="true" applyAlignment="true" applyProtection="false">
      <alignment horizontal="general" vertical="top" textRotation="0" wrapText="true" indent="0" shrinkToFit="false"/>
      <protection locked="true" hidden="false"/>
    </xf>
    <xf numFmtId="165" fontId="7" fillId="13" borderId="1" xfId="0" applyFont="true" applyBorder="true" applyAlignment="true" applyProtection="false">
      <alignment horizontal="center" vertical="top" textRotation="0" wrapText="true" indent="0" shrinkToFit="false"/>
      <protection locked="true" hidden="false"/>
    </xf>
    <xf numFmtId="164" fontId="7" fillId="14" borderId="1" xfId="0" applyFont="true" applyBorder="true" applyAlignment="true" applyProtection="false">
      <alignment horizontal="general" vertical="top" textRotation="0" wrapText="true" indent="0" shrinkToFit="false"/>
      <protection locked="true" hidden="false"/>
    </xf>
    <xf numFmtId="165" fontId="8" fillId="13" borderId="1" xfId="0" applyFont="true" applyBorder="true" applyAlignment="true" applyProtection="false">
      <alignment horizontal="center" vertical="top" textRotation="0" wrapText="true" indent="0" shrinkToFit="false"/>
      <protection locked="true" hidden="false"/>
    </xf>
    <xf numFmtId="164" fontId="7" fillId="7" borderId="1" xfId="0" applyFont="true" applyBorder="true" applyAlignment="true" applyProtection="false">
      <alignment horizontal="general" vertical="top" textRotation="0" wrapText="true" indent="0" shrinkToFit="false"/>
      <protection locked="true" hidden="false"/>
    </xf>
    <xf numFmtId="164" fontId="7" fillId="8" borderId="1" xfId="0" applyFont="true" applyBorder="true" applyAlignment="true" applyProtection="false">
      <alignment horizontal="general" vertical="top" textRotation="0" wrapText="true" indent="0" shrinkToFit="false"/>
      <protection locked="true" hidden="false"/>
    </xf>
    <xf numFmtId="164" fontId="7" fillId="10" borderId="1" xfId="0" applyFont="true" applyBorder="true" applyAlignment="true" applyProtection="false">
      <alignment horizontal="general" vertical="top" textRotation="0" wrapText="true" indent="0" shrinkToFit="false"/>
      <protection locked="true" hidden="false"/>
    </xf>
    <xf numFmtId="164" fontId="7" fillId="15" borderId="1" xfId="0" applyFont="true" applyBorder="true" applyAlignment="true" applyProtection="false">
      <alignment horizontal="general" vertical="top" textRotation="0" wrapText="true" indent="0" shrinkToFit="false"/>
      <protection locked="true" hidden="false"/>
    </xf>
    <xf numFmtId="164" fontId="4" fillId="16" borderId="0" xfId="0" applyFont="true" applyBorder="false" applyAlignment="true" applyProtection="false">
      <alignment horizontal="general" vertical="center" textRotation="0" wrapText="false" indent="0" shrinkToFit="false"/>
      <protection locked="true" hidden="false"/>
    </xf>
    <xf numFmtId="164" fontId="0" fillId="16" borderId="0" xfId="0" applyFont="false" applyBorder="false" applyAlignment="false" applyProtection="false">
      <alignment horizontal="general" vertical="bottom" textRotation="0" wrapText="false" indent="0" shrinkToFit="false"/>
      <protection locked="true" hidden="false"/>
    </xf>
    <xf numFmtId="164" fontId="11" fillId="16" borderId="1" xfId="0" applyFont="true" applyBorder="true" applyAlignment="true" applyProtection="false">
      <alignment horizontal="center" vertical="top" textRotation="0" wrapText="true" indent="0" shrinkToFit="false"/>
      <protection locked="true" hidden="false"/>
    </xf>
    <xf numFmtId="164" fontId="11" fillId="17" borderId="1" xfId="0" applyFont="true" applyBorder="true" applyAlignment="true" applyProtection="false">
      <alignment horizontal="center" vertical="top" textRotation="0" wrapText="true" indent="0" shrinkToFit="false"/>
      <protection locked="true" hidden="false"/>
    </xf>
    <xf numFmtId="164" fontId="11" fillId="18" borderId="1" xfId="0" applyFont="true" applyBorder="true" applyAlignment="true" applyProtection="false">
      <alignment horizontal="center" vertical="top"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8" fillId="19" borderId="1" xfId="0" applyFont="true" applyBorder="true" applyAlignment="true" applyProtection="false">
      <alignment horizontal="center" vertical="top" textRotation="0" wrapText="true" indent="0" shrinkToFit="false"/>
      <protection locked="true" hidden="false"/>
    </xf>
    <xf numFmtId="164" fontId="8" fillId="19" borderId="1" xfId="0" applyFont="true" applyBorder="true" applyAlignment="true" applyProtection="false">
      <alignment horizontal="general" vertical="top" textRotation="0" wrapText="true" indent="0" shrinkToFit="false"/>
      <protection locked="true" hidden="false"/>
    </xf>
    <xf numFmtId="166" fontId="8" fillId="19" borderId="1" xfId="0" applyFont="true" applyBorder="true" applyAlignment="true" applyProtection="false">
      <alignment horizontal="center" vertical="top" textRotation="0" wrapText="true" indent="0" shrinkToFit="false"/>
      <protection locked="true" hidden="false"/>
    </xf>
    <xf numFmtId="164" fontId="8" fillId="15" borderId="1" xfId="0" applyFont="true" applyBorder="true" applyAlignment="true" applyProtection="false">
      <alignment horizontal="center" vertical="top" textRotation="0" wrapText="true" indent="0" shrinkToFit="false"/>
      <protection locked="true" hidden="false"/>
    </xf>
    <xf numFmtId="166" fontId="8" fillId="13" borderId="1" xfId="0" applyFont="true" applyBorder="true" applyAlignment="true" applyProtection="false">
      <alignment horizontal="center" vertical="top" textRotation="0" wrapText="true" indent="0" shrinkToFit="false"/>
      <protection locked="true" hidden="false"/>
    </xf>
    <xf numFmtId="164" fontId="8" fillId="13" borderId="1" xfId="0" applyFont="true" applyBorder="true" applyAlignment="true" applyProtection="false">
      <alignment horizontal="general" vertical="top" textRotation="0" wrapText="true" indent="0" shrinkToFit="false"/>
      <protection locked="true" hidden="false"/>
    </xf>
    <xf numFmtId="164" fontId="8" fillId="20" borderId="1" xfId="0" applyFont="true" applyBorder="true" applyAlignment="true" applyProtection="false">
      <alignment horizontal="general" vertical="top" textRotation="0" wrapText="true" indent="0" shrinkToFit="false"/>
      <protection locked="true" hidden="false"/>
    </xf>
    <xf numFmtId="164" fontId="8" fillId="20" borderId="1" xfId="0" applyFont="true" applyBorder="true" applyAlignment="true" applyProtection="false">
      <alignment horizontal="center" vertical="top" textRotation="0" wrapText="true" indent="0" shrinkToFit="false"/>
      <protection locked="true" hidden="false"/>
    </xf>
    <xf numFmtId="164" fontId="7" fillId="21" borderId="1" xfId="0" applyFont="true" applyBorder="true" applyAlignment="true" applyProtection="false">
      <alignment horizontal="general" vertical="top" textRotation="0" wrapText="true" indent="0" shrinkToFit="false"/>
      <protection locked="true" hidden="false"/>
    </xf>
    <xf numFmtId="164" fontId="8" fillId="21" borderId="1" xfId="0" applyFont="true" applyBorder="true" applyAlignment="true" applyProtection="false">
      <alignment horizontal="general" vertical="top" textRotation="0" wrapText="true" indent="0" shrinkToFit="false"/>
      <protection locked="true" hidden="false"/>
    </xf>
    <xf numFmtId="167" fontId="8" fillId="13" borderId="1" xfId="0" applyFont="true" applyBorder="true" applyAlignment="true" applyProtection="false">
      <alignment horizontal="center" vertical="top" textRotation="0" wrapText="true" indent="0" shrinkToFit="false"/>
      <protection locked="true" hidden="false"/>
    </xf>
    <xf numFmtId="164" fontId="8" fillId="15" borderId="1" xfId="0" applyFont="true" applyBorder="true" applyAlignment="true" applyProtection="false">
      <alignment horizontal="general" vertical="top" textRotation="0" wrapText="true" indent="0" shrinkToFit="false"/>
      <protection locked="true" hidden="false"/>
    </xf>
    <xf numFmtId="164" fontId="7" fillId="22" borderId="1" xfId="0" applyFont="true" applyBorder="true" applyAlignment="true" applyProtection="false">
      <alignment horizontal="general" vertical="top" textRotation="0" wrapText="true" indent="0" shrinkToFit="false"/>
      <protection locked="true" hidden="false"/>
    </xf>
    <xf numFmtId="164" fontId="8" fillId="22" borderId="1" xfId="0" applyFont="true" applyBorder="true" applyAlignment="true" applyProtection="false">
      <alignment horizontal="general" vertical="top" textRotation="0" wrapText="true" indent="0" shrinkToFit="false"/>
      <protection locked="true" hidden="false"/>
    </xf>
    <xf numFmtId="164" fontId="7" fillId="23" borderId="1" xfId="0" applyFont="true" applyBorder="true" applyAlignment="true" applyProtection="false">
      <alignment horizontal="general" vertical="top" textRotation="0" wrapText="true" indent="0" shrinkToFit="false"/>
      <protection locked="true" hidden="false"/>
    </xf>
    <xf numFmtId="164" fontId="8" fillId="23" borderId="1" xfId="0" applyFont="true" applyBorder="true" applyAlignment="true" applyProtection="false">
      <alignment horizontal="general" vertical="top" textRotation="0" wrapText="true" indent="0" shrinkToFit="false"/>
      <protection locked="true" hidden="false"/>
    </xf>
    <xf numFmtId="164" fontId="7" fillId="24" borderId="1" xfId="0" applyFont="true" applyBorder="true" applyAlignment="true" applyProtection="false">
      <alignment horizontal="general" vertical="top" textRotation="0" wrapText="true" indent="0" shrinkToFit="false"/>
      <protection locked="true" hidden="false"/>
    </xf>
    <xf numFmtId="164" fontId="8" fillId="24" borderId="1" xfId="0" applyFont="true" applyBorder="true" applyAlignment="true" applyProtection="false">
      <alignment horizontal="general" vertical="top" textRotation="0" wrapText="true" indent="0" shrinkToFit="false"/>
      <protection locked="true" hidden="false"/>
    </xf>
    <xf numFmtId="164" fontId="7" fillId="19" borderId="1" xfId="0" applyFont="true" applyBorder="true" applyAlignment="true" applyProtection="false">
      <alignment horizontal="general" vertical="top" textRotation="0" wrapText="true" indent="0" shrinkToFit="false"/>
      <protection locked="true" hidden="false"/>
    </xf>
    <xf numFmtId="164" fontId="7" fillId="25" borderId="1" xfId="0" applyFont="true" applyBorder="true" applyAlignment="true" applyProtection="false">
      <alignment horizontal="general" vertical="top" textRotation="0" wrapText="true" indent="0" shrinkToFit="false"/>
      <protection locked="true" hidden="false"/>
    </xf>
    <xf numFmtId="164" fontId="8" fillId="25" borderId="1" xfId="0" applyFont="true" applyBorder="true" applyAlignment="true" applyProtection="false">
      <alignment horizontal="general" vertical="top" textRotation="0" wrapText="true" indent="0" shrinkToFit="false"/>
      <protection locked="true" hidden="false"/>
    </xf>
    <xf numFmtId="164" fontId="4" fillId="26" borderId="0" xfId="0" applyFont="true" applyBorder="false" applyAlignment="true" applyProtection="false">
      <alignment horizontal="general" vertical="center" textRotation="0" wrapText="false" indent="0" shrinkToFit="false"/>
      <protection locked="true" hidden="false"/>
    </xf>
    <xf numFmtId="164" fontId="0" fillId="26" borderId="0" xfId="0" applyFont="false" applyBorder="false" applyAlignment="false" applyProtection="false">
      <alignment horizontal="general" vertical="bottom" textRotation="0" wrapText="false" indent="0" shrinkToFit="false"/>
      <protection locked="true" hidden="false"/>
    </xf>
    <xf numFmtId="164" fontId="11" fillId="26" borderId="1" xfId="0" applyFont="true" applyBorder="true" applyAlignment="true" applyProtection="false">
      <alignment horizontal="center" vertical="top" textRotation="0" wrapText="true" indent="0" shrinkToFit="false"/>
      <protection locked="true" hidden="false"/>
    </xf>
    <xf numFmtId="164" fontId="4" fillId="27" borderId="0" xfId="0" applyFont="true" applyBorder="false" applyAlignment="true" applyProtection="false">
      <alignment horizontal="general" vertical="center" textRotation="0" wrapText="false" indent="0" shrinkToFit="false"/>
      <protection locked="true" hidden="false"/>
    </xf>
    <xf numFmtId="164" fontId="0" fillId="27" borderId="0" xfId="0" applyFont="false" applyBorder="false" applyAlignment="false" applyProtection="false">
      <alignment horizontal="general" vertical="bottom" textRotation="0" wrapText="false" indent="0" shrinkToFit="false"/>
      <protection locked="true" hidden="false"/>
    </xf>
    <xf numFmtId="164" fontId="7" fillId="21" borderId="0" xfId="0" applyFont="true" applyBorder="true" applyAlignment="true" applyProtection="false">
      <alignment horizontal="center" vertical="bottom" textRotation="0" wrapText="false" indent="0" shrinkToFit="false"/>
      <protection locked="true" hidden="false"/>
    </xf>
    <xf numFmtId="164" fontId="7" fillId="15" borderId="0" xfId="0" applyFont="true" applyBorder="true" applyAlignment="true" applyProtection="false">
      <alignment horizontal="center" vertical="bottom" textRotation="0" wrapText="false" indent="0" shrinkToFit="false"/>
      <protection locked="true" hidden="false"/>
    </xf>
    <xf numFmtId="164" fontId="7" fillId="22" borderId="0" xfId="0" applyFont="true" applyBorder="true" applyAlignment="true" applyProtection="false">
      <alignment horizontal="center" vertical="bottom" textRotation="0" wrapText="false" indent="0" shrinkToFit="false"/>
      <protection locked="true" hidden="false"/>
    </xf>
    <xf numFmtId="164" fontId="7" fillId="23" borderId="0" xfId="0" applyFont="true" applyBorder="true" applyAlignment="true" applyProtection="false">
      <alignment horizontal="center" vertical="bottom" textRotation="0" wrapText="false" indent="0" shrinkToFit="false"/>
      <protection locked="true" hidden="false"/>
    </xf>
    <xf numFmtId="164" fontId="7" fillId="24" borderId="0" xfId="0" applyFont="true" applyBorder="true" applyAlignment="true" applyProtection="false">
      <alignment horizontal="center" vertical="bottom" textRotation="0" wrapText="false" indent="0" shrinkToFit="false"/>
      <protection locked="true" hidden="false"/>
    </xf>
    <xf numFmtId="164" fontId="7" fillId="19" borderId="0" xfId="0" applyFont="true" applyBorder="true" applyAlignment="true" applyProtection="false">
      <alignment horizontal="center" vertical="bottom" textRotation="0" wrapText="false" indent="0" shrinkToFit="false"/>
      <protection locked="true" hidden="false"/>
    </xf>
    <xf numFmtId="164" fontId="7" fillId="25" borderId="0" xfId="0" applyFont="true" applyBorder="true" applyAlignment="true" applyProtection="false">
      <alignment horizontal="center" vertical="bottom" textRotation="0" wrapText="false" indent="0" shrinkToFit="false"/>
      <protection locked="true" hidden="false"/>
    </xf>
    <xf numFmtId="164" fontId="11" fillId="27" borderId="1" xfId="0" applyFont="true" applyBorder="true" applyAlignment="true" applyProtection="false">
      <alignment horizontal="center" vertical="top" textRotation="0" wrapText="true" indent="0" shrinkToFit="false"/>
      <protection locked="true" hidden="false"/>
    </xf>
    <xf numFmtId="164" fontId="8" fillId="28" borderId="1" xfId="0" applyFont="true" applyBorder="true" applyAlignment="true" applyProtection="false">
      <alignment horizontal="general" vertical="top" textRotation="0" wrapText="true" indent="0" shrinkToFit="false"/>
      <protection locked="true" hidden="false"/>
    </xf>
    <xf numFmtId="164" fontId="4" fillId="29" borderId="0" xfId="0" applyFont="true" applyBorder="false" applyAlignment="true" applyProtection="false">
      <alignment horizontal="general" vertical="center" textRotation="0" wrapText="false" indent="0" shrinkToFit="false"/>
      <protection locked="true" hidden="false"/>
    </xf>
    <xf numFmtId="164" fontId="0" fillId="29" borderId="0" xfId="0" applyFont="false" applyBorder="false" applyAlignment="false" applyProtection="false">
      <alignment horizontal="general" vertical="bottom" textRotation="0" wrapText="false" indent="0" shrinkToFit="false"/>
      <protection locked="true" hidden="false"/>
    </xf>
    <xf numFmtId="164" fontId="11" fillId="29" borderId="1" xfId="0" applyFont="true" applyBorder="true" applyAlignment="true" applyProtection="false">
      <alignment horizontal="center" vertical="top" textRotation="0" wrapText="true" indent="0" shrinkToFit="false"/>
      <protection locked="true" hidden="false"/>
    </xf>
    <xf numFmtId="164" fontId="8" fillId="3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5">
    <dxf>
      <font>
        <name val="Arial"/>
        <charset val="1"/>
        <family val="0"/>
        <b val="1"/>
      </font>
    </dxf>
    <dxf>
      <fill>
        <patternFill patternType="solid">
          <fgColor rgb="FF375623"/>
          <bgColor rgb="FF000000"/>
        </patternFill>
      </fill>
    </dxf>
    <dxf>
      <fill>
        <patternFill patternType="solid">
          <fgColor rgb="FFFFFFFF"/>
          <bgColor rgb="FF000000"/>
        </patternFill>
      </fill>
    </dxf>
    <dxf>
      <fill>
        <patternFill patternType="solid">
          <fgColor rgb="FF1F3864"/>
          <bgColor rgb="FF000000"/>
        </patternFill>
      </fill>
    </dxf>
    <dxf>
      <fill>
        <patternFill patternType="solid">
          <fgColor rgb="FFEEF5E9"/>
          <bgColor rgb="FF000000"/>
        </patternFill>
      </fill>
    </dxf>
    <dxf>
      <fill>
        <patternFill patternType="solid">
          <bgColor rgb="FF000000"/>
        </patternFill>
      </fill>
    </dxf>
    <dxf>
      <fill>
        <patternFill patternType="solid">
          <fgColor rgb="FFBDD7EE"/>
          <bgColor rgb="FF000000"/>
        </patternFill>
      </fill>
    </dxf>
    <dxf>
      <fill>
        <patternFill patternType="solid">
          <fgColor rgb="FFD9C3E9"/>
          <bgColor rgb="FF000000"/>
        </patternFill>
      </fill>
    </dxf>
    <dxf>
      <fill>
        <patternFill patternType="solid">
          <fgColor rgb="FF7F6000"/>
          <bgColor rgb="FF000000"/>
        </patternFill>
      </fill>
    </dxf>
    <dxf>
      <fill>
        <patternFill patternType="solid">
          <fgColor rgb="FFFFF2CC"/>
          <bgColor rgb="FF000000"/>
        </patternFill>
      </fill>
    </dxf>
    <dxf>
      <fill>
        <patternFill patternType="solid">
          <fgColor rgb="FFFCE4D6"/>
          <bgColor rgb="FF000000"/>
        </patternFill>
      </fill>
    </dxf>
    <dxf>
      <fill>
        <patternFill patternType="solid">
          <fgColor rgb="FF595959"/>
          <bgColor rgb="FF000000"/>
        </patternFill>
      </fill>
    </dxf>
    <dxf>
      <fill>
        <patternFill patternType="solid">
          <fgColor rgb="FFE7E6E6"/>
          <bgColor rgb="FF000000"/>
        </patternFill>
      </fill>
    </dxf>
    <dxf>
      <font>
        <name val="Arial"/>
        <charset val="1"/>
        <family val="0"/>
        <b val="1"/>
      </font>
      <fill>
        <patternFill>
          <bgColor rgb="FFFF7C80"/>
        </patternFill>
      </fill>
    </dxf>
    <dxf>
      <font>
        <name val="Arial"/>
        <charset val="1"/>
        <family val="0"/>
        <b val="1"/>
      </font>
      <fill>
        <patternFill>
          <bgColor rgb="FFFFEB9C"/>
        </patternFill>
      </fill>
    </dxf>
    <dxf>
      <font>
        <name val="Arial"/>
        <charset val="1"/>
        <family val="0"/>
        <b val="1"/>
      </font>
      <fill>
        <patternFill>
          <bgColor rgb="FFFFD966"/>
        </patternFill>
      </fill>
    </dxf>
    <dxf>
      <font>
        <name val="Arial"/>
        <charset val="1"/>
        <family val="0"/>
        <b val="1"/>
      </font>
      <fill>
        <patternFill>
          <bgColor rgb="FFC6EFCE"/>
        </patternFill>
      </fill>
    </dxf>
    <dxf>
      <font>
        <name val="Arial"/>
        <charset val="1"/>
        <family val="0"/>
        <b val="1"/>
      </font>
      <fill>
        <patternFill>
          <bgColor rgb="FFD9D9D9"/>
        </patternFill>
      </fill>
    </dxf>
    <dxf>
      <font>
        <name val="Arial"/>
        <charset val="1"/>
        <family val="0"/>
        <b val="1"/>
      </font>
      <fill>
        <patternFill>
          <bgColor rgb="FFBDD7EE"/>
        </patternFill>
      </fill>
    </dxf>
    <dxf>
      <font>
        <name val="Arial"/>
        <charset val="1"/>
        <family val="0"/>
        <b val="1"/>
      </font>
      <fill>
        <patternFill>
          <bgColor rgb="FFD9C3E9"/>
        </patternFill>
      </fill>
    </dxf>
    <dxf>
      <font>
        <name val="Arial"/>
        <charset val="1"/>
        <family val="0"/>
      </font>
      <fill>
        <patternFill>
          <bgColor rgb="FFC6EFCE"/>
        </patternFill>
      </fill>
    </dxf>
    <dxf>
      <font>
        <name val="Arial"/>
        <charset val="1"/>
        <family val="0"/>
      </font>
      <fill>
        <patternFill>
          <bgColor rgb="FFFFEB9C"/>
        </patternFill>
      </fill>
    </dxf>
    <dxf>
      <font>
        <name val="Arial"/>
        <charset val="1"/>
        <family val="0"/>
      </font>
      <fill>
        <patternFill>
          <bgColor rgb="FFFF7C80"/>
        </patternFill>
      </fill>
    </dxf>
    <dxf>
      <font>
        <name val="Arial"/>
        <charset val="1"/>
        <family val="0"/>
      </font>
      <fill>
        <patternFill>
          <bgColor rgb="FFD9D9D9"/>
        </patternFill>
      </fill>
    </dxf>
    <dxf>
      <font>
        <name val="Arial"/>
        <charset val="1"/>
        <family val="0"/>
      </font>
      <fill>
        <patternFill>
          <bgColor rgb="FFFCE4D6"/>
        </patternFill>
      </fill>
    </dxf>
    <dxf>
      <font>
        <name val="Arial"/>
        <charset val="1"/>
        <family val="0"/>
        <color rgb="FFA6A6A6"/>
      </font>
    </dxf>
    <dxf>
      <fill>
        <patternFill patternType="solid">
          <fgColor rgb="FF203864"/>
          <bgColor rgb="FF000000"/>
        </patternFill>
      </fill>
    </dxf>
    <dxf>
      <fill>
        <patternFill patternType="solid">
          <fgColor rgb="FFDAEEF3"/>
          <bgColor rgb="FF000000"/>
        </patternFill>
      </fill>
    </dxf>
    <dxf>
      <fill>
        <patternFill patternType="solid">
          <fgColor rgb="FFDDEBF7"/>
          <bgColor rgb="FF000000"/>
        </patternFill>
      </fill>
    </dxf>
    <dxf>
      <fill>
        <patternFill patternType="solid">
          <fgColor rgb="FFE2EFDA"/>
          <bgColor rgb="FF000000"/>
        </patternFill>
      </fill>
    </dxf>
    <dxf>
      <fill>
        <patternFill patternType="solid">
          <fgColor rgb="FFEADFF5"/>
          <bgColor rgb="FF000000"/>
        </patternFill>
      </fill>
    </dxf>
    <dxf>
      <fill>
        <patternFill patternType="solid">
          <fgColor rgb="FFEDEDED"/>
          <bgColor rgb="FF000000"/>
        </patternFill>
      </fill>
    </dxf>
    <dxf>
      <fill>
        <patternFill patternType="solid">
          <fgColor rgb="FFD9D9D9"/>
          <bgColor rgb="FF000000"/>
        </patternFill>
      </fill>
    </dxf>
    <dxf>
      <fill>
        <patternFill patternType="solid">
          <fgColor rgb="FFFF7C80"/>
          <bgColor rgb="FF000000"/>
        </patternFill>
      </fill>
    </dxf>
    <dxf>
      <fill>
        <patternFill patternType="solid">
          <fgColor rgb="FF0563C1"/>
          <bgColor rgb="FF000000"/>
        </patternFill>
      </fill>
    </dxf>
  </dxfs>
  <colors>
    <indexedColors>
      <rgbColor rgb="FF000000"/>
      <rgbColor rgb="FFFFFFFF"/>
      <rgbColor rgb="FFC00000"/>
      <rgbColor rgb="FF00FF00"/>
      <rgbColor rgb="FF0000FF"/>
      <rgbColor rgb="FFE2EFDA"/>
      <rgbColor rgb="FFFF00FF"/>
      <rgbColor rgb="FFF2F2F2"/>
      <rgbColor rgb="FF800000"/>
      <rgbColor rgb="FF008000"/>
      <rgbColor rgb="FF000080"/>
      <rgbColor rgb="FF7F6000"/>
      <rgbColor rgb="FF800080"/>
      <rgbColor rgb="FF008080"/>
      <rgbColor rgb="FFBFBFBF"/>
      <rgbColor rgb="FF7F7F7F"/>
      <rgbColor rgb="FFE7E6E6"/>
      <rgbColor rgb="FF993366"/>
      <rgbColor rgb="FFFFF2CC"/>
      <rgbColor rgb="FFDAEEF3"/>
      <rgbColor rgb="FF660066"/>
      <rgbColor rgb="FFFF7C80"/>
      <rgbColor rgb="FF0563C1"/>
      <rgbColor rgb="FFD9C3E9"/>
      <rgbColor rgb="FF000080"/>
      <rgbColor rgb="FFFF00FF"/>
      <rgbColor rgb="FFEEF5E9"/>
      <rgbColor rgb="FF00FFFF"/>
      <rgbColor rgb="FF800080"/>
      <rgbColor rgb="FF800000"/>
      <rgbColor rgb="FF008080"/>
      <rgbColor rgb="FF0000FF"/>
      <rgbColor rgb="FF00CCFF"/>
      <rgbColor rgb="FFDDEBF7"/>
      <rgbColor rgb="FFC6EFCE"/>
      <rgbColor rgb="FFFFEB9C"/>
      <rgbColor rgb="FFBDD7EE"/>
      <rgbColor rgb="FFEADFF5"/>
      <rgbColor rgb="FFD9D9D9"/>
      <rgbColor rgb="FFFFD966"/>
      <rgbColor rgb="FF2F5597"/>
      <rgbColor rgb="FFEEF3FA"/>
      <rgbColor rgb="FFEDEDED"/>
      <rgbColor rgb="FFFCE4D6"/>
      <rgbColor rgb="FFFBEAEA"/>
      <rgbColor rgb="FFFF6600"/>
      <rgbColor rgb="FF595959"/>
      <rgbColor rgb="FFA6A6A6"/>
      <rgbColor rgb="FF1F3864"/>
      <rgbColor rgb="FF548235"/>
      <rgbColor rgb="FF203864"/>
      <rgbColor rgb="FF375623"/>
      <rgbColor rgb="FF993300"/>
      <rgbColor rgb="FF993366"/>
      <rgbColor rgb="FF3A3A8C"/>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nachi065.github.io/AI-Security-Wiki/03_Control_Library/03_AI_Security_Control_Objectives_Library.html" TargetMode="External"/><Relationship Id="rId2" Type="http://schemas.openxmlformats.org/officeDocument/2006/relationships/hyperlink" Target="https://nachi065.github.io/AI-Security-Wiki/03_Control_Library/06_Control_Tiers.html" TargetMode="External"/><Relationship Id="rId3" Type="http://schemas.openxmlformats.org/officeDocument/2006/relationships/hyperlink" Target="https://nachi065.github.io/AI-Security-Wiki/02_Risk_Management/02D_AI_Risk_to_Control_Mapping.html" TargetMode="External"/><Relationship Id="rId4" Type="http://schemas.openxmlformats.org/officeDocument/2006/relationships/hyperlink" Target="https://nachi065.github.io/AI-Security-Wiki/23_Framework_Crosswalks/index.html" TargetMode="External"/><Relationship Id="rId5" Type="http://schemas.openxmlformats.org/officeDocument/2006/relationships/hyperlink" Target="https://nachi065.github.io/AI-Security-Wiki/06_Testing_and_Assurance/13_AI_Security_PoC_Test_Case_Library.html"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creativecommons.org/licenses/by-sa/4.0/" TargetMode="External"/><Relationship Id="rId2" Type="http://schemas.openxmlformats.org/officeDocument/2006/relationships/hyperlink" Target="https://creativecommons.org/licenses/by-sa/4.0/legalcode.en" TargetMode="External"/><Relationship Id="rId3" Type="http://schemas.openxmlformats.org/officeDocument/2006/relationships/hyperlink" Target="https://nachi065.github.io/AI-Security-Wiki/" TargetMode="External"/><Relationship Id="rId4" Type="http://schemas.openxmlformats.org/officeDocument/2006/relationships/hyperlink" Target="https://github.com/nachi065/AI-Security-Wiki" TargetMode="External"/>
</Relationships>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hyperlink" Target="https://nachi065.github.io/AI-Security-Wiki/23_Framework_Crosswalks/01_FINOS_AIGF_Crosswalk.html" TargetMode="External"/><Relationship Id="rId2" Type="http://schemas.openxmlformats.org/officeDocument/2006/relationships/hyperlink" Target="https://nachi065.github.io/AI-Security-Wiki/23_Framework_Crosswalks/01_FINOS_AIGF_Crosswalk.html" TargetMode="External"/><Relationship Id="rId3" Type="http://schemas.openxmlformats.org/officeDocument/2006/relationships/hyperlink" Target="https://nachi065.github.io/AI-Security-Wiki/23_Framework_Crosswalks/01_FINOS_AIGF_Crosswalk.html" TargetMode="External"/><Relationship Id="rId4" Type="http://schemas.openxmlformats.org/officeDocument/2006/relationships/hyperlink" Target="https://nachi065.github.io/AI-Security-Wiki/23_Framework_Crosswalks/01_FINOS_AIGF_Crosswalk.html" TargetMode="External"/><Relationship Id="rId5" Type="http://schemas.openxmlformats.org/officeDocument/2006/relationships/hyperlink" Target="https://nachi065.github.io/AI-Security-Wiki/23_Framework_Crosswalks/01_FINOS_AIGF_Crosswalk.html" TargetMode="External"/><Relationship Id="rId6" Type="http://schemas.openxmlformats.org/officeDocument/2006/relationships/hyperlink" Target="https://nachi065.github.io/AI-Security-Wiki/23_Framework_Crosswalks/01_FINOS_AIGF_Crosswalk.html" TargetMode="External"/><Relationship Id="rId7" Type="http://schemas.openxmlformats.org/officeDocument/2006/relationships/hyperlink" Target="https://nachi065.github.io/AI-Security-Wiki/23_Framework_Crosswalks/01_FINOS_AIGF_Crosswalk.html" TargetMode="External"/><Relationship Id="rId8" Type="http://schemas.openxmlformats.org/officeDocument/2006/relationships/hyperlink" Target="https://nachi065.github.io/AI-Security-Wiki/23_Framework_Crosswalks/01_FINOS_AIGF_Crosswalk.html" TargetMode="External"/><Relationship Id="rId9" Type="http://schemas.openxmlformats.org/officeDocument/2006/relationships/hyperlink" Target="https://nachi065.github.io/AI-Security-Wiki/23_Framework_Crosswalks/01_FINOS_AIGF_Crosswalk.html" TargetMode="External"/><Relationship Id="rId10" Type="http://schemas.openxmlformats.org/officeDocument/2006/relationships/hyperlink" Target="https://nachi065.github.io/AI-Security-Wiki/23_Framework_Crosswalks/01_FINOS_AIGF_Crosswalk.html" TargetMode="External"/><Relationship Id="rId11" Type="http://schemas.openxmlformats.org/officeDocument/2006/relationships/hyperlink" Target="https://nachi065.github.io/AI-Security-Wiki/23_Framework_Crosswalks/01_FINOS_AIGF_Crosswalk.html" TargetMode="External"/><Relationship Id="rId12" Type="http://schemas.openxmlformats.org/officeDocument/2006/relationships/hyperlink" Target="https://nachi065.github.io/AI-Security-Wiki/23_Framework_Crosswalks/01_FINOS_AIGF_Crosswalk.html" TargetMode="External"/><Relationship Id="rId13" Type="http://schemas.openxmlformats.org/officeDocument/2006/relationships/hyperlink" Target="https://nachi065.github.io/AI-Security-Wiki/23_Framework_Crosswalks/01_FINOS_AIGF_Crosswalk.html" TargetMode="External"/><Relationship Id="rId14" Type="http://schemas.openxmlformats.org/officeDocument/2006/relationships/hyperlink" Target="https://nachi065.github.io/AI-Security-Wiki/23_Framework_Crosswalks/01_FINOS_AIGF_Crosswalk.html" TargetMode="External"/><Relationship Id="rId15" Type="http://schemas.openxmlformats.org/officeDocument/2006/relationships/hyperlink" Target="https://nachi065.github.io/AI-Security-Wiki/23_Framework_Crosswalks/01_FINOS_AIGF_Crosswalk.html" TargetMode="External"/><Relationship Id="rId16" Type="http://schemas.openxmlformats.org/officeDocument/2006/relationships/hyperlink" Target="https://nachi065.github.io/AI-Security-Wiki/23_Framework_Crosswalks/01_FINOS_AIGF_Crosswalk.html" TargetMode="External"/><Relationship Id="rId17" Type="http://schemas.openxmlformats.org/officeDocument/2006/relationships/hyperlink" Target="https://nachi065.github.io/AI-Security-Wiki/23_Framework_Crosswalks/01_FINOS_AIGF_Crosswalk.html" TargetMode="External"/><Relationship Id="rId18" Type="http://schemas.openxmlformats.org/officeDocument/2006/relationships/hyperlink" Target="https://nachi065.github.io/AI-Security-Wiki/23_Framework_Crosswalks/01_FINOS_AIGF_Crosswalk.html" TargetMode="External"/><Relationship Id="rId19" Type="http://schemas.openxmlformats.org/officeDocument/2006/relationships/hyperlink" Target="https://nachi065.github.io/AI-Security-Wiki/23_Framework_Crosswalks/01_FINOS_AIGF_Crosswalk.html" TargetMode="External"/><Relationship Id="rId20" Type="http://schemas.openxmlformats.org/officeDocument/2006/relationships/hyperlink" Target="https://nachi065.github.io/AI-Security-Wiki/23_Framework_Crosswalks/01_FINOS_AIGF_Crosswalk.html" TargetMode="External"/><Relationship Id="rId21" Type="http://schemas.openxmlformats.org/officeDocument/2006/relationships/hyperlink" Target="https://nachi065.github.io/AI-Security-Wiki/23_Framework_Crosswalks/01_FINOS_AIGF_Crosswalk.html" TargetMode="External"/><Relationship Id="rId22" Type="http://schemas.openxmlformats.org/officeDocument/2006/relationships/hyperlink" Target="https://nachi065.github.io/AI-Security-Wiki/23_Framework_Crosswalks/01_FINOS_AIGF_Crosswalk.html" TargetMode="External"/><Relationship Id="rId23" Type="http://schemas.openxmlformats.org/officeDocument/2006/relationships/hyperlink" Target="https://nachi065.github.io/AI-Security-Wiki/23_Framework_Crosswalks/01_FINOS_AIGF_Crosswalk.html" TargetMode="External"/><Relationship Id="rId24" Type="http://schemas.openxmlformats.org/officeDocument/2006/relationships/hyperlink" Target="https://nachi065.github.io/AI-Security-Wiki/23_Framework_Crosswalks/01_FINOS_AIGF_Crosswalk.html" TargetMode="External"/><Relationship Id="rId25" Type="http://schemas.openxmlformats.org/officeDocument/2006/relationships/hyperlink" Target="https://nachi065.github.io/AI-Security-Wiki/23_Framework_Crosswalks/01_FINOS_AIGF_Crosswalk.html" TargetMode="External"/><Relationship Id="rId26" Type="http://schemas.openxmlformats.org/officeDocument/2006/relationships/hyperlink" Target="https://nachi065.github.io/AI-Security-Wiki/23_Framework_Crosswalks/01_FINOS_AIGF_Crosswalk.html" TargetMode="External"/><Relationship Id="rId27" Type="http://schemas.openxmlformats.org/officeDocument/2006/relationships/hyperlink" Target="https://nachi065.github.io/AI-Security-Wiki/23_Framework_Crosswalks/01_FINOS_AIGF_Crosswalk.html" TargetMode="External"/><Relationship Id="rId28" Type="http://schemas.openxmlformats.org/officeDocument/2006/relationships/hyperlink" Target="https://nachi065.github.io/AI-Security-Wiki/23_Framework_Crosswalks/01_FINOS_AIGF_Crosswalk.html" TargetMode="External"/><Relationship Id="rId29" Type="http://schemas.openxmlformats.org/officeDocument/2006/relationships/hyperlink" Target="https://nachi065.github.io/AI-Security-Wiki/23_Framework_Crosswalks/01_FINOS_AIGF_Crosswalk.html" TargetMode="External"/><Relationship Id="rId30" Type="http://schemas.openxmlformats.org/officeDocument/2006/relationships/hyperlink" Target="https://nachi065.github.io/AI-Security-Wiki/23_Framework_Crosswalks/01_FINOS_AIGF_Crosswalk.html" TargetMode="External"/><Relationship Id="rId31" Type="http://schemas.openxmlformats.org/officeDocument/2006/relationships/hyperlink" Target="https://nachi065.github.io/AI-Security-Wiki/23_Framework_Crosswalks/01_FINOS_AIGF_Crosswalk.html" TargetMode="External"/><Relationship Id="rId32" Type="http://schemas.openxmlformats.org/officeDocument/2006/relationships/hyperlink" Target="https://nachi065.github.io/AI-Security-Wiki/23_Framework_Crosswalks/01_FINOS_AIGF_Crosswalk.html" TargetMode="External"/><Relationship Id="rId33" Type="http://schemas.openxmlformats.org/officeDocument/2006/relationships/hyperlink" Target="https://nachi065.github.io/AI-Security-Wiki/23_Framework_Crosswalks/01_FINOS_AIGF_Crosswalk.html" TargetMode="External"/><Relationship Id="rId34" Type="http://schemas.openxmlformats.org/officeDocument/2006/relationships/hyperlink" Target="https://nachi065.github.io/AI-Security-Wiki/23_Framework_Crosswalks/01_FINOS_AIGF_Crosswalk.html" TargetMode="External"/><Relationship Id="rId35" Type="http://schemas.openxmlformats.org/officeDocument/2006/relationships/hyperlink" Target="https://nachi065.github.io/AI-Security-Wiki/23_Framework_Crosswalks/01_FINOS_AIGF_Crosswalk.html" TargetMode="External"/><Relationship Id="rId36" Type="http://schemas.openxmlformats.org/officeDocument/2006/relationships/hyperlink" Target="https://nachi065.github.io/AI-Security-Wiki/23_Framework_Crosswalks/01_FINOS_AIGF_Crosswalk.html" TargetMode="External"/><Relationship Id="rId37" Type="http://schemas.openxmlformats.org/officeDocument/2006/relationships/hyperlink" Target="https://nachi065.github.io/AI-Security-Wiki/23_Framework_Crosswalks/01_FINOS_AIGF_Crosswalk.html" TargetMode="External"/><Relationship Id="rId38" Type="http://schemas.openxmlformats.org/officeDocument/2006/relationships/hyperlink" Target="https://nachi065.github.io/AI-Security-Wiki/23_Framework_Crosswalks/01_FINOS_AIGF_Crosswalk.html" TargetMode="External"/><Relationship Id="rId39" Type="http://schemas.openxmlformats.org/officeDocument/2006/relationships/hyperlink" Target="https://nachi065.github.io/AI-Security-Wiki/23_Framework_Crosswalks/01_FINOS_AIGF_Crosswalk.html" TargetMode="External"/><Relationship Id="rId40" Type="http://schemas.openxmlformats.org/officeDocument/2006/relationships/hyperlink" Target="https://nachi065.github.io/AI-Security-Wiki/23_Framework_Crosswalks/01_FINOS_AIGF_Crosswalk.html" TargetMode="External"/><Relationship Id="rId41" Type="http://schemas.openxmlformats.org/officeDocument/2006/relationships/hyperlink" Target="https://nachi065.github.io/AI-Security-Wiki/23_Framework_Crosswalks/01_FINOS_AIGF_Crosswalk.html" TargetMode="External"/><Relationship Id="rId42" Type="http://schemas.openxmlformats.org/officeDocument/2006/relationships/hyperlink" Target="https://nachi065.github.io/AI-Security-Wiki/23_Framework_Crosswalks/01_FINOS_AIGF_Crosswalk.html" TargetMode="External"/><Relationship Id="rId43" Type="http://schemas.openxmlformats.org/officeDocument/2006/relationships/hyperlink" Target="https://nachi065.github.io/AI-Security-Wiki/23_Framework_Crosswalks/01_FINOS_AIGF_Crosswalk.html" TargetMode="External"/><Relationship Id="rId44" Type="http://schemas.openxmlformats.org/officeDocument/2006/relationships/hyperlink" Target="https://nachi065.github.io/AI-Security-Wiki/23_Framework_Crosswalks/01_FINOS_AIGF_Crosswalk.html" TargetMode="External"/><Relationship Id="rId45" Type="http://schemas.openxmlformats.org/officeDocument/2006/relationships/hyperlink" Target="https://nachi065.github.io/AI-Security-Wiki/23_Framework_Crosswalks/01_FINOS_AIGF_Crosswalk.html" TargetMode="External"/><Relationship Id="rId46" Type="http://schemas.openxmlformats.org/officeDocument/2006/relationships/hyperlink" Target="https://nachi065.github.io/AI-Security-Wiki/23_Framework_Crosswalks/01_FINOS_AIGF_Crosswalk.html" TargetMode="External"/><Relationship Id="rId47" Type="http://schemas.openxmlformats.org/officeDocument/2006/relationships/hyperlink" Target="https://nachi065.github.io/AI-Security-Wiki/23_Framework_Crosswalks/01_FINOS_AIGF_Crosswalk.html" TargetMode="External"/><Relationship Id="rId48" Type="http://schemas.openxmlformats.org/officeDocument/2006/relationships/hyperlink" Target="https://nachi065.github.io/AI-Security-Wiki/23_Framework_Crosswalks/01_FINOS_AIGF_Crosswalk.html" TargetMode="External"/><Relationship Id="rId49" Type="http://schemas.openxmlformats.org/officeDocument/2006/relationships/hyperlink" Target="https://nachi065.github.io/AI-Security-Wiki/23_Framework_Crosswalks/01_FINOS_AIGF_Crosswalk.html" TargetMode="External"/><Relationship Id="rId50" Type="http://schemas.openxmlformats.org/officeDocument/2006/relationships/hyperlink" Target="https://nachi065.github.io/AI-Security-Wiki/23_Framework_Crosswalks/18_AI_Risk_Map_Crosswalk.html" TargetMode="External"/><Relationship Id="rId51" Type="http://schemas.openxmlformats.org/officeDocument/2006/relationships/hyperlink" Target="https://nachi065.github.io/AI-Security-Wiki/23_Framework_Crosswalks/18_AI_Risk_Map_Crosswalk.html" TargetMode="External"/><Relationship Id="rId52" Type="http://schemas.openxmlformats.org/officeDocument/2006/relationships/hyperlink" Target="https://nachi065.github.io/AI-Security-Wiki/23_Framework_Crosswalks/18_AI_Risk_Map_Crosswalk.html" TargetMode="External"/><Relationship Id="rId53" Type="http://schemas.openxmlformats.org/officeDocument/2006/relationships/hyperlink" Target="https://nachi065.github.io/AI-Security-Wiki/23_Framework_Crosswalks/18_AI_Risk_Map_Crosswalk.html" TargetMode="External"/><Relationship Id="rId54" Type="http://schemas.openxmlformats.org/officeDocument/2006/relationships/hyperlink" Target="https://nachi065.github.io/AI-Security-Wiki/23_Framework_Crosswalks/18_AI_Risk_Map_Crosswalk.html" TargetMode="External"/><Relationship Id="rId55" Type="http://schemas.openxmlformats.org/officeDocument/2006/relationships/hyperlink" Target="https://nachi065.github.io/AI-Security-Wiki/23_Framework_Crosswalks/18_AI_Risk_Map_Crosswalk.html" TargetMode="External"/><Relationship Id="rId56" Type="http://schemas.openxmlformats.org/officeDocument/2006/relationships/hyperlink" Target="https://nachi065.github.io/AI-Security-Wiki/23_Framework_Crosswalks/18_AI_Risk_Map_Crosswalk.html" TargetMode="External"/><Relationship Id="rId57" Type="http://schemas.openxmlformats.org/officeDocument/2006/relationships/hyperlink" Target="https://nachi065.github.io/AI-Security-Wiki/23_Framework_Crosswalks/18_AI_Risk_Map_Crosswalk.html" TargetMode="External"/><Relationship Id="rId58" Type="http://schemas.openxmlformats.org/officeDocument/2006/relationships/hyperlink" Target="https://nachi065.github.io/AI-Security-Wiki/23_Framework_Crosswalks/18_AI_Risk_Map_Crosswalk.html" TargetMode="External"/><Relationship Id="rId59" Type="http://schemas.openxmlformats.org/officeDocument/2006/relationships/hyperlink" Target="https://nachi065.github.io/AI-Security-Wiki/23_Framework_Crosswalks/18_AI_Risk_Map_Crosswalk.html" TargetMode="External"/><Relationship Id="rId60" Type="http://schemas.openxmlformats.org/officeDocument/2006/relationships/hyperlink" Target="https://nachi065.github.io/AI-Security-Wiki/23_Framework_Crosswalks/18_AI_Risk_Map_Crosswalk.html" TargetMode="External"/><Relationship Id="rId61" Type="http://schemas.openxmlformats.org/officeDocument/2006/relationships/hyperlink" Target="https://nachi065.github.io/AI-Security-Wiki/23_Framework_Crosswalks/18_AI_Risk_Map_Crosswalk.html" TargetMode="External"/><Relationship Id="rId62" Type="http://schemas.openxmlformats.org/officeDocument/2006/relationships/hyperlink" Target="https://nachi065.github.io/AI-Security-Wiki/23_Framework_Crosswalks/18_AI_Risk_Map_Crosswalk.html" TargetMode="External"/><Relationship Id="rId63" Type="http://schemas.openxmlformats.org/officeDocument/2006/relationships/hyperlink" Target="https://nachi065.github.io/AI-Security-Wiki/23_Framework_Crosswalks/18_AI_Risk_Map_Crosswalk.html" TargetMode="External"/><Relationship Id="rId64" Type="http://schemas.openxmlformats.org/officeDocument/2006/relationships/hyperlink" Target="https://nachi065.github.io/AI-Security-Wiki/23_Framework_Crosswalks/18_AI_Risk_Map_Crosswalk.html" TargetMode="External"/><Relationship Id="rId65" Type="http://schemas.openxmlformats.org/officeDocument/2006/relationships/hyperlink" Target="https://nachi065.github.io/AI-Security-Wiki/23_Framework_Crosswalks/18_AI_Risk_Map_Crosswalk.html" TargetMode="External"/><Relationship Id="rId66" Type="http://schemas.openxmlformats.org/officeDocument/2006/relationships/hyperlink" Target="https://nachi065.github.io/AI-Security-Wiki/23_Framework_Crosswalks/18_AI_Risk_Map_Crosswalk.html" TargetMode="External"/><Relationship Id="rId67" Type="http://schemas.openxmlformats.org/officeDocument/2006/relationships/hyperlink" Target="https://nachi065.github.io/AI-Security-Wiki/23_Framework_Crosswalks/18_AI_Risk_Map_Crosswalk.html" TargetMode="External"/><Relationship Id="rId68" Type="http://schemas.openxmlformats.org/officeDocument/2006/relationships/hyperlink" Target="https://nachi065.github.io/AI-Security-Wiki/23_Framework_Crosswalks/18_AI_Risk_Map_Crosswalk.html" TargetMode="External"/><Relationship Id="rId69" Type="http://schemas.openxmlformats.org/officeDocument/2006/relationships/hyperlink" Target="https://nachi065.github.io/AI-Security-Wiki/23_Framework_Crosswalks/18_AI_Risk_Map_Crosswalk.html" TargetMode="External"/><Relationship Id="rId70" Type="http://schemas.openxmlformats.org/officeDocument/2006/relationships/hyperlink" Target="https://nachi065.github.io/AI-Security-Wiki/23_Framework_Crosswalks/18_AI_Risk_Map_Crosswalk.html" TargetMode="External"/><Relationship Id="rId71" Type="http://schemas.openxmlformats.org/officeDocument/2006/relationships/hyperlink" Target="https://nachi065.github.io/AI-Security-Wiki/23_Framework_Crosswalks/18_AI_Risk_Map_Crosswalk.html" TargetMode="External"/><Relationship Id="rId72" Type="http://schemas.openxmlformats.org/officeDocument/2006/relationships/hyperlink" Target="https://nachi065.github.io/AI-Security-Wiki/23_Framework_Crosswalks/18_AI_Risk_Map_Crosswalk.html" TargetMode="External"/><Relationship Id="rId73" Type="http://schemas.openxmlformats.org/officeDocument/2006/relationships/hyperlink" Target="https://nachi065.github.io/AI-Security-Wiki/23_Framework_Crosswalks/18_AI_Risk_Map_Crosswalk.html" TargetMode="External"/><Relationship Id="rId74" Type="http://schemas.openxmlformats.org/officeDocument/2006/relationships/hyperlink" Target="https://nachi065.github.io/AI-Security-Wiki/23_Framework_Crosswalks/18_AI_Risk_Map_Crosswalk.html" TargetMode="External"/><Relationship Id="rId75" Type="http://schemas.openxmlformats.org/officeDocument/2006/relationships/hyperlink" Target="https://nachi065.github.io/AI-Security-Wiki/23_Framework_Crosswalks/18_AI_Risk_Map_Crosswalk.html" TargetMode="External"/><Relationship Id="rId76" Type="http://schemas.openxmlformats.org/officeDocument/2006/relationships/hyperlink" Target="https://nachi065.github.io/AI-Security-Wiki/23_Framework_Crosswalks/18_AI_Risk_Map_Crosswalk.html" TargetMode="External"/><Relationship Id="rId77" Type="http://schemas.openxmlformats.org/officeDocument/2006/relationships/hyperlink" Target="https://nachi065.github.io/AI-Security-Wiki/23_Framework_Crosswalks/18_AI_Risk_Map_Crosswalk.html" TargetMode="External"/><Relationship Id="rId78" Type="http://schemas.openxmlformats.org/officeDocument/2006/relationships/hyperlink" Target="https://nachi065.github.io/AI-Security-Wiki/23_Framework_Crosswalks/18_AI_Risk_Map_Crosswalk.html" TargetMode="External"/><Relationship Id="rId79" Type="http://schemas.openxmlformats.org/officeDocument/2006/relationships/hyperlink" Target="https://nachi065.github.io/AI-Security-Wiki/23_Framework_Crosswalks/18_AI_Risk_Map_Crosswalk.html" TargetMode="External"/><Relationship Id="rId80" Type="http://schemas.openxmlformats.org/officeDocument/2006/relationships/hyperlink" Target="https://nachi065.github.io/AI-Security-Wiki/23_Framework_Crosswalks/18_AI_Risk_Map_Crosswalk.html" TargetMode="External"/><Relationship Id="rId81" Type="http://schemas.openxmlformats.org/officeDocument/2006/relationships/hyperlink" Target="https://nachi065.github.io/AI-Security-Wiki/23_Framework_Crosswalks/18_AI_Risk_Map_Crosswalk.html" TargetMode="External"/><Relationship Id="rId82" Type="http://schemas.openxmlformats.org/officeDocument/2006/relationships/hyperlink" Target="https://nachi065.github.io/AI-Security-Wiki/23_Framework_Crosswalks/18_AI_Risk_Map_Crosswalk.html" TargetMode="External"/><Relationship Id="rId83" Type="http://schemas.openxmlformats.org/officeDocument/2006/relationships/hyperlink" Target="https://nachi065.github.io/AI-Security-Wiki/23_Framework_Crosswalks/18_AI_Risk_Map_Crosswalk.html" TargetMode="External"/><Relationship Id="rId84" Type="http://schemas.openxmlformats.org/officeDocument/2006/relationships/hyperlink" Target="https://nachi065.github.io/AI-Security-Wiki/23_Framework_Crosswalks/18_AI_Risk_Map_Crosswalk.html" TargetMode="External"/><Relationship Id="rId85" Type="http://schemas.openxmlformats.org/officeDocument/2006/relationships/hyperlink" Target="https://nachi065.github.io/AI-Security-Wiki/23_Framework_Crosswalks/18_AI_Risk_Map_Crosswalk.html" TargetMode="External"/><Relationship Id="rId86" Type="http://schemas.openxmlformats.org/officeDocument/2006/relationships/hyperlink" Target="https://nachi065.github.io/AI-Security-Wiki/23_Framework_Crosswalks/18_AI_Risk_Map_Crosswalk.html" TargetMode="External"/><Relationship Id="rId87" Type="http://schemas.openxmlformats.org/officeDocument/2006/relationships/hyperlink" Target="https://nachi065.github.io/AI-Security-Wiki/23_Framework_Crosswalks/18_AI_Risk_Map_Crosswalk.html" TargetMode="External"/><Relationship Id="rId88" Type="http://schemas.openxmlformats.org/officeDocument/2006/relationships/hyperlink" Target="https://nachi065.github.io/AI-Security-Wiki/23_Framework_Crosswalks/18_AI_Risk_Map_Crosswalk.html" TargetMode="External"/><Relationship Id="rId89" Type="http://schemas.openxmlformats.org/officeDocument/2006/relationships/hyperlink" Target="https://nachi065.github.io/AI-Security-Wiki/23_Framework_Crosswalks/18_AI_Risk_Map_Crosswalk.html" TargetMode="External"/><Relationship Id="rId90" Type="http://schemas.openxmlformats.org/officeDocument/2006/relationships/hyperlink" Target="https://nachi065.github.io/AI-Security-Wiki/23_Framework_Crosswalks/18_AI_Risk_Map_Crosswalk.html" TargetMode="External"/><Relationship Id="rId91" Type="http://schemas.openxmlformats.org/officeDocument/2006/relationships/hyperlink" Target="https://nachi065.github.io/AI-Security-Wiki/23_Framework_Crosswalks/18_AI_Risk_Map_Crosswalk.html" TargetMode="External"/><Relationship Id="rId92" Type="http://schemas.openxmlformats.org/officeDocument/2006/relationships/hyperlink" Target="https://nachi065.github.io/AI-Security-Wiki/23_Framework_Crosswalks/18_AI_Risk_Map_Crosswalk.html" TargetMode="External"/><Relationship Id="rId93" Type="http://schemas.openxmlformats.org/officeDocument/2006/relationships/hyperlink" Target="https://nachi065.github.io/AI-Security-Wiki/23_Framework_Crosswalks/18_AI_Risk_Map_Crosswalk.html" TargetMode="External"/><Relationship Id="rId94" Type="http://schemas.openxmlformats.org/officeDocument/2006/relationships/hyperlink" Target="https://nachi065.github.io/AI-Security-Wiki/23_Framework_Crosswalks/18_AI_Risk_Map_Crosswalk.html" TargetMode="External"/><Relationship Id="rId95" Type="http://schemas.openxmlformats.org/officeDocument/2006/relationships/hyperlink" Target="https://nachi065.github.io/AI-Security-Wiki/23_Framework_Crosswalks/18_AI_Risk_Map_Crosswalk.html" TargetMode="External"/><Relationship Id="rId96" Type="http://schemas.openxmlformats.org/officeDocument/2006/relationships/hyperlink" Target="https://nachi065.github.io/AI-Security-Wiki/23_Framework_Crosswalks/18_AI_Risk_Map_Crosswalk.html" TargetMode="External"/><Relationship Id="rId97" Type="http://schemas.openxmlformats.org/officeDocument/2006/relationships/hyperlink" Target="https://nachi065.github.io/AI-Security-Wiki/23_Framework_Crosswalks/18_AI_Risk_Map_Crosswalk.html" TargetMode="External"/><Relationship Id="rId98" Type="http://schemas.openxmlformats.org/officeDocument/2006/relationships/hyperlink" Target="https://nachi065.github.io/AI-Security-Wiki/23_Framework_Crosswalks/18_AI_Risk_Map_Crosswalk.html" TargetMode="External"/><Relationship Id="rId99" Type="http://schemas.openxmlformats.org/officeDocument/2006/relationships/hyperlink" Target="https://nachi065.github.io/AI-Security-Wiki/23_Framework_Crosswalks/18_AI_Risk_Map_Crosswalk.html" TargetMode="External"/><Relationship Id="rId100" Type="http://schemas.openxmlformats.org/officeDocument/2006/relationships/hyperlink" Target="https://nachi065.github.io/AI-Security-Wiki/23_Framework_Crosswalks/18_AI_Risk_Map_Crosswalk.html" TargetMode="External"/><Relationship Id="rId101" Type="http://schemas.openxmlformats.org/officeDocument/2006/relationships/hyperlink" Target="https://nachi065.github.io/AI-Security-Wiki/23_Framework_Crosswalks/18_AI_Risk_Map_Crosswalk.html" TargetMode="External"/><Relationship Id="rId102" Type="http://schemas.openxmlformats.org/officeDocument/2006/relationships/hyperlink" Target="https://nachi065.github.io/AI-Security-Wiki/23_Framework_Crosswalks/18_AI_Risk_Map_Crosswalk.html" TargetMode="External"/><Relationship Id="rId103" Type="http://schemas.openxmlformats.org/officeDocument/2006/relationships/hyperlink" Target="https://nachi065.github.io/AI-Security-Wiki/23_Framework_Crosswalks/18_AI_Risk_Map_Crosswalk.html" TargetMode="External"/><Relationship Id="rId104" Type="http://schemas.openxmlformats.org/officeDocument/2006/relationships/hyperlink" Target="https://nachi065.github.io/AI-Security-Wiki/23_Framework_Crosswalks/18_AI_Risk_Map_Crosswalk.html" TargetMode="External"/><Relationship Id="rId105" Type="http://schemas.openxmlformats.org/officeDocument/2006/relationships/hyperlink" Target="https://nachi065.github.io/AI-Security-Wiki/23_Framework_Crosswalks/03_NIST_AI_RMF_Crosswalk.html" TargetMode="External"/><Relationship Id="rId106" Type="http://schemas.openxmlformats.org/officeDocument/2006/relationships/hyperlink" Target="https://nachi065.github.io/AI-Security-Wiki/23_Framework_Crosswalks/03_NIST_AI_RMF_Crosswalk.html" TargetMode="External"/><Relationship Id="rId107" Type="http://schemas.openxmlformats.org/officeDocument/2006/relationships/hyperlink" Target="https://nachi065.github.io/AI-Security-Wiki/23_Framework_Crosswalks/03_NIST_AI_RMF_Crosswalk.html" TargetMode="External"/><Relationship Id="rId108" Type="http://schemas.openxmlformats.org/officeDocument/2006/relationships/hyperlink" Target="https://nachi065.github.io/AI-Security-Wiki/23_Framework_Crosswalks/03_NIST_AI_RMF_Crosswalk.html" TargetMode="External"/><Relationship Id="rId109" Type="http://schemas.openxmlformats.org/officeDocument/2006/relationships/hyperlink" Target="https://nachi065.github.io/AI-Security-Wiki/23_Framework_Crosswalks/03_NIST_AI_RMF_Crosswalk.html" TargetMode="External"/><Relationship Id="rId110" Type="http://schemas.openxmlformats.org/officeDocument/2006/relationships/hyperlink" Target="https://nachi065.github.io/AI-Security-Wiki/23_Framework_Crosswalks/03_NIST_AI_RMF_Crosswalk.html" TargetMode="External"/><Relationship Id="rId111" Type="http://schemas.openxmlformats.org/officeDocument/2006/relationships/hyperlink" Target="https://nachi065.github.io/AI-Security-Wiki/23_Framework_Crosswalks/03_NIST_AI_RMF_Crosswalk.html" TargetMode="External"/><Relationship Id="rId112" Type="http://schemas.openxmlformats.org/officeDocument/2006/relationships/hyperlink" Target="https://nachi065.github.io/AI-Security-Wiki/23_Framework_Crosswalks/03_NIST_AI_RMF_Crosswalk.html" TargetMode="External"/><Relationship Id="rId113" Type="http://schemas.openxmlformats.org/officeDocument/2006/relationships/hyperlink" Target="https://nachi065.github.io/AI-Security-Wiki/23_Framework_Crosswalks/03_NIST_AI_RMF_Crosswalk.html" TargetMode="External"/><Relationship Id="rId114" Type="http://schemas.openxmlformats.org/officeDocument/2006/relationships/hyperlink" Target="https://nachi065.github.io/AI-Security-Wiki/23_Framework_Crosswalks/03_NIST_AI_RMF_Crosswalk.html" TargetMode="External"/><Relationship Id="rId115" Type="http://schemas.openxmlformats.org/officeDocument/2006/relationships/hyperlink" Target="https://nachi065.github.io/AI-Security-Wiki/23_Framework_Crosswalks/03_NIST_AI_RMF_Crosswalk.html" TargetMode="External"/><Relationship Id="rId116" Type="http://schemas.openxmlformats.org/officeDocument/2006/relationships/hyperlink" Target="https://nachi065.github.io/AI-Security-Wiki/23_Framework_Crosswalks/03_NIST_AI_RMF_Crosswalk.html" TargetMode="External"/><Relationship Id="rId117" Type="http://schemas.openxmlformats.org/officeDocument/2006/relationships/hyperlink" Target="https://nachi065.github.io/AI-Security-Wiki/23_Framework_Crosswalks/03_NIST_AI_RMF_Crosswalk.html" TargetMode="External"/><Relationship Id="rId118" Type="http://schemas.openxmlformats.org/officeDocument/2006/relationships/hyperlink" Target="https://nachi065.github.io/AI-Security-Wiki/23_Framework_Crosswalks/03_NIST_AI_RMF_Crosswalk.html" TargetMode="External"/><Relationship Id="rId119" Type="http://schemas.openxmlformats.org/officeDocument/2006/relationships/hyperlink" Target="https://nachi065.github.io/AI-Security-Wiki/23_Framework_Crosswalks/03_NIST_AI_RMF_Crosswalk.html" TargetMode="External"/><Relationship Id="rId120" Type="http://schemas.openxmlformats.org/officeDocument/2006/relationships/hyperlink" Target="https://nachi065.github.io/AI-Security-Wiki/23_Framework_Crosswalks/03_NIST_AI_RMF_Crosswalk.html" TargetMode="External"/><Relationship Id="rId121" Type="http://schemas.openxmlformats.org/officeDocument/2006/relationships/hyperlink" Target="https://nachi065.github.io/AI-Security-Wiki/23_Framework_Crosswalks/03_NIST_AI_RMF_Crosswalk.html" TargetMode="External"/><Relationship Id="rId122" Type="http://schemas.openxmlformats.org/officeDocument/2006/relationships/hyperlink" Target="https://nachi065.github.io/AI-Security-Wiki/23_Framework_Crosswalks/03_NIST_AI_RMF_Crosswalk.html" TargetMode="External"/><Relationship Id="rId123" Type="http://schemas.openxmlformats.org/officeDocument/2006/relationships/hyperlink" Target="https://nachi065.github.io/AI-Security-Wiki/23_Framework_Crosswalks/03_NIST_AI_RMF_Crosswalk.html" TargetMode="External"/><Relationship Id="rId124" Type="http://schemas.openxmlformats.org/officeDocument/2006/relationships/hyperlink" Target="https://nachi065.github.io/AI-Security-Wiki/23_Framework_Crosswalks/03_NIST_AI_RMF_Crosswalk.html" TargetMode="External"/><Relationship Id="rId125" Type="http://schemas.openxmlformats.org/officeDocument/2006/relationships/hyperlink" Target="https://nachi065.github.io/AI-Security-Wiki/23_Framework_Crosswalks/03_NIST_AI_RMF_Crosswalk.html" TargetMode="External"/><Relationship Id="rId126" Type="http://schemas.openxmlformats.org/officeDocument/2006/relationships/hyperlink" Target="https://nachi065.github.io/AI-Security-Wiki/23_Framework_Crosswalks/03_NIST_AI_RMF_Crosswalk.html" TargetMode="External"/><Relationship Id="rId127" Type="http://schemas.openxmlformats.org/officeDocument/2006/relationships/hyperlink" Target="https://nachi065.github.io/AI-Security-Wiki/23_Framework_Crosswalks/03_NIST_AI_RMF_Crosswalk.html" TargetMode="External"/><Relationship Id="rId128" Type="http://schemas.openxmlformats.org/officeDocument/2006/relationships/hyperlink" Target="https://nachi065.github.io/AI-Security-Wiki/23_Framework_Crosswalks/03_NIST_AI_RMF_Crosswalk.html" TargetMode="External"/><Relationship Id="rId129" Type="http://schemas.openxmlformats.org/officeDocument/2006/relationships/hyperlink" Target="https://nachi065.github.io/AI-Security-Wiki/23_Framework_Crosswalks/03_NIST_AI_RMF_Crosswalk.html" TargetMode="External"/><Relationship Id="rId130" Type="http://schemas.openxmlformats.org/officeDocument/2006/relationships/hyperlink" Target="https://nachi065.github.io/AI-Security-Wiki/23_Framework_Crosswalks/03_NIST_AI_RMF_Crosswalk.html" TargetMode="External"/><Relationship Id="rId131" Type="http://schemas.openxmlformats.org/officeDocument/2006/relationships/hyperlink" Target="https://nachi065.github.io/AI-Security-Wiki/23_Framework_Crosswalks/03_NIST_AI_RMF_Crosswalk.html" TargetMode="External"/><Relationship Id="rId132" Type="http://schemas.openxmlformats.org/officeDocument/2006/relationships/hyperlink" Target="https://nachi065.github.io/AI-Security-Wiki/23_Framework_Crosswalks/03_NIST_AI_RMF_Crosswalk.html" TargetMode="External"/><Relationship Id="rId133" Type="http://schemas.openxmlformats.org/officeDocument/2006/relationships/hyperlink" Target="https://nachi065.github.io/AI-Security-Wiki/23_Framework_Crosswalks/03_NIST_AI_RMF_Crosswalk.html" TargetMode="External"/><Relationship Id="rId134" Type="http://schemas.openxmlformats.org/officeDocument/2006/relationships/hyperlink" Target="https://nachi065.github.io/AI-Security-Wiki/23_Framework_Crosswalks/03_NIST_AI_RMF_Crosswalk.html" TargetMode="External"/><Relationship Id="rId135" Type="http://schemas.openxmlformats.org/officeDocument/2006/relationships/hyperlink" Target="https://nachi065.github.io/AI-Security-Wiki/23_Framework_Crosswalks/03_NIST_AI_RMF_Crosswalk.html" TargetMode="External"/><Relationship Id="rId136" Type="http://schemas.openxmlformats.org/officeDocument/2006/relationships/hyperlink" Target="https://nachi065.github.io/AI-Security-Wiki/23_Framework_Crosswalks/03_NIST_AI_RMF_Crosswalk.html" TargetMode="External"/><Relationship Id="rId137" Type="http://schemas.openxmlformats.org/officeDocument/2006/relationships/hyperlink" Target="https://nachi065.github.io/AI-Security-Wiki/23_Framework_Crosswalks/03_NIST_AI_RMF_Crosswalk.html" TargetMode="External"/><Relationship Id="rId138" Type="http://schemas.openxmlformats.org/officeDocument/2006/relationships/hyperlink" Target="https://nachi065.github.io/AI-Security-Wiki/23_Framework_Crosswalks/03_NIST_AI_RMF_Crosswalk.html" TargetMode="External"/><Relationship Id="rId139" Type="http://schemas.openxmlformats.org/officeDocument/2006/relationships/hyperlink" Target="https://nachi065.github.io/AI-Security-Wiki/23_Framework_Crosswalks/03_NIST_AI_RMF_Crosswalk.html" TargetMode="External"/><Relationship Id="rId140" Type="http://schemas.openxmlformats.org/officeDocument/2006/relationships/hyperlink" Target="https://nachi065.github.io/AI-Security-Wiki/23_Framework_Crosswalks/03_NIST_AI_RMF_Crosswalk.html" TargetMode="External"/><Relationship Id="rId141" Type="http://schemas.openxmlformats.org/officeDocument/2006/relationships/hyperlink" Target="https://nachi065.github.io/AI-Security-Wiki/23_Framework_Crosswalks/03_NIST_AI_RMF_Crosswalk.html" TargetMode="External"/><Relationship Id="rId142" Type="http://schemas.openxmlformats.org/officeDocument/2006/relationships/hyperlink" Target="https://nachi065.github.io/AI-Security-Wiki/23_Framework_Crosswalks/03_NIST_AI_RMF_Crosswalk.html" TargetMode="External"/><Relationship Id="rId143" Type="http://schemas.openxmlformats.org/officeDocument/2006/relationships/hyperlink" Target="https://nachi065.github.io/AI-Security-Wiki/23_Framework_Crosswalks/03_NIST_AI_RMF_Crosswalk.html" TargetMode="External"/><Relationship Id="rId144" Type="http://schemas.openxmlformats.org/officeDocument/2006/relationships/hyperlink" Target="https://nachi065.github.io/AI-Security-Wiki/23_Framework_Crosswalks/03_NIST_AI_RMF_Crosswalk.html" TargetMode="External"/><Relationship Id="rId145" Type="http://schemas.openxmlformats.org/officeDocument/2006/relationships/hyperlink" Target="https://nachi065.github.io/AI-Security-Wiki/23_Framework_Crosswalks/03_NIST_AI_RMF_Crosswalk.html" TargetMode="External"/><Relationship Id="rId146" Type="http://schemas.openxmlformats.org/officeDocument/2006/relationships/hyperlink" Target="https://nachi065.github.io/AI-Security-Wiki/23_Framework_Crosswalks/03_NIST_AI_RMF_Crosswalk.html" TargetMode="External"/><Relationship Id="rId147" Type="http://schemas.openxmlformats.org/officeDocument/2006/relationships/hyperlink" Target="https://nachi065.github.io/AI-Security-Wiki/23_Framework_Crosswalks/03_NIST_AI_RMF_Crosswalk.html" TargetMode="External"/><Relationship Id="rId148" Type="http://schemas.openxmlformats.org/officeDocument/2006/relationships/hyperlink" Target="https://nachi065.github.io/AI-Security-Wiki/23_Framework_Crosswalks/03_NIST_AI_RMF_Crosswalk.html" TargetMode="External"/><Relationship Id="rId149" Type="http://schemas.openxmlformats.org/officeDocument/2006/relationships/hyperlink" Target="https://nachi065.github.io/AI-Security-Wiki/23_Framework_Crosswalks/03_NIST_AI_RMF_Crosswalk.html" TargetMode="External"/><Relationship Id="rId150" Type="http://schemas.openxmlformats.org/officeDocument/2006/relationships/hyperlink" Target="https://nachi065.github.io/AI-Security-Wiki/23_Framework_Crosswalks/03_NIST_AI_RMF_Crosswalk.html" TargetMode="External"/><Relationship Id="rId151" Type="http://schemas.openxmlformats.org/officeDocument/2006/relationships/hyperlink" Target="https://nachi065.github.io/AI-Security-Wiki/23_Framework_Crosswalks/03_NIST_AI_RMF_Crosswalk.html" TargetMode="External"/><Relationship Id="rId152" Type="http://schemas.openxmlformats.org/officeDocument/2006/relationships/hyperlink" Target="https://nachi065.github.io/AI-Security-Wiki/23_Framework_Crosswalks/03_NIST_AI_RMF_Crosswalk.html" TargetMode="External"/><Relationship Id="rId153" Type="http://schemas.openxmlformats.org/officeDocument/2006/relationships/hyperlink" Target="https://nachi065.github.io/AI-Security-Wiki/23_Framework_Crosswalks/03_NIST_AI_RMF_Crosswalk.html" TargetMode="External"/><Relationship Id="rId154" Type="http://schemas.openxmlformats.org/officeDocument/2006/relationships/hyperlink" Target="https://nachi065.github.io/AI-Security-Wiki/23_Framework_Crosswalks/03_NIST_AI_RMF_Crosswalk.html" TargetMode="External"/><Relationship Id="rId155" Type="http://schemas.openxmlformats.org/officeDocument/2006/relationships/hyperlink" Target="https://nachi065.github.io/AI-Security-Wiki/23_Framework_Crosswalks/03_NIST_AI_RMF_Crosswalk.html" TargetMode="External"/><Relationship Id="rId156" Type="http://schemas.openxmlformats.org/officeDocument/2006/relationships/hyperlink" Target="https://nachi065.github.io/AI-Security-Wiki/23_Framework_Crosswalks/03_NIST_AI_RMF_Crosswalk.html" TargetMode="External"/><Relationship Id="rId157" Type="http://schemas.openxmlformats.org/officeDocument/2006/relationships/hyperlink" Target="https://nachi065.github.io/AI-Security-Wiki/23_Framework_Crosswalks/03_NIST_AI_RMF_Crosswalk.html" TargetMode="External"/><Relationship Id="rId158" Type="http://schemas.openxmlformats.org/officeDocument/2006/relationships/hyperlink" Target="https://nachi065.github.io/AI-Security-Wiki/23_Framework_Crosswalks/03_NIST_AI_RMF_Crosswalk.html" TargetMode="External"/><Relationship Id="rId159" Type="http://schemas.openxmlformats.org/officeDocument/2006/relationships/hyperlink" Target="https://nachi065.github.io/AI-Security-Wiki/23_Framework_Crosswalks/03_NIST_AI_RMF_Crosswalk.html" TargetMode="External"/><Relationship Id="rId160" Type="http://schemas.openxmlformats.org/officeDocument/2006/relationships/hyperlink" Target="https://nachi065.github.io/AI-Security-Wiki/23_Framework_Crosswalks/03_NIST_AI_RMF_Crosswalk.html" TargetMode="External"/><Relationship Id="rId161" Type="http://schemas.openxmlformats.org/officeDocument/2006/relationships/hyperlink" Target="https://nachi065.github.io/AI-Security-Wiki/23_Framework_Crosswalks/03_NIST_AI_RMF_Crosswalk.html" TargetMode="External"/><Relationship Id="rId162" Type="http://schemas.openxmlformats.org/officeDocument/2006/relationships/hyperlink" Target="https://nachi065.github.io/AI-Security-Wiki/23_Framework_Crosswalks/03_NIST_AI_RMF_Crosswalk.html" TargetMode="External"/><Relationship Id="rId163" Type="http://schemas.openxmlformats.org/officeDocument/2006/relationships/hyperlink" Target="https://nachi065.github.io/AI-Security-Wiki/23_Framework_Crosswalks/03_NIST_AI_RMF_Crosswalk.html" TargetMode="External"/><Relationship Id="rId164" Type="http://schemas.openxmlformats.org/officeDocument/2006/relationships/hyperlink" Target="https://nachi065.github.io/AI-Security-Wiki/23_Framework_Crosswalks/03_NIST_AI_RMF_Crosswalk.html" TargetMode="External"/><Relationship Id="rId165" Type="http://schemas.openxmlformats.org/officeDocument/2006/relationships/hyperlink" Target="https://nachi065.github.io/AI-Security-Wiki/23_Framework_Crosswalks/03_NIST_AI_RMF_Crosswalk.html" TargetMode="External"/><Relationship Id="rId166" Type="http://schemas.openxmlformats.org/officeDocument/2006/relationships/hyperlink" Target="https://nachi065.github.io/AI-Security-Wiki/23_Framework_Crosswalks/03_NIST_AI_RMF_Crosswalk.html" TargetMode="External"/><Relationship Id="rId167" Type="http://schemas.openxmlformats.org/officeDocument/2006/relationships/hyperlink" Target="https://nachi065.github.io/AI-Security-Wiki/23_Framework_Crosswalks/03_NIST_AI_RMF_Crosswalk.html" TargetMode="External"/><Relationship Id="rId168" Type="http://schemas.openxmlformats.org/officeDocument/2006/relationships/hyperlink" Target="https://nachi065.github.io/AI-Security-Wiki/23_Framework_Crosswalks/03_NIST_AI_RMF_Crosswalk.html" TargetMode="External"/><Relationship Id="rId169" Type="http://schemas.openxmlformats.org/officeDocument/2006/relationships/hyperlink" Target="https://nachi065.github.io/AI-Security-Wiki/23_Framework_Crosswalks/03_NIST_AI_RMF_Crosswalk.html" TargetMode="External"/><Relationship Id="rId170" Type="http://schemas.openxmlformats.org/officeDocument/2006/relationships/hyperlink" Target="https://nachi065.github.io/AI-Security-Wiki/23_Framework_Crosswalks/03_NIST_AI_RMF_Crosswalk.html" TargetMode="External"/><Relationship Id="rId171" Type="http://schemas.openxmlformats.org/officeDocument/2006/relationships/hyperlink" Target="https://nachi065.github.io/AI-Security-Wiki/23_Framework_Crosswalks/03_NIST_AI_RMF_Crosswalk.html" TargetMode="External"/><Relationship Id="rId172" Type="http://schemas.openxmlformats.org/officeDocument/2006/relationships/hyperlink" Target="https://nachi065.github.io/AI-Security-Wiki/23_Framework_Crosswalks/03_NIST_AI_RMF_Crosswalk.html" TargetMode="External"/><Relationship Id="rId173" Type="http://schemas.openxmlformats.org/officeDocument/2006/relationships/hyperlink" Target="https://nachi065.github.io/AI-Security-Wiki/23_Framework_Crosswalks/03_NIST_AI_RMF_Crosswalk.html" TargetMode="External"/><Relationship Id="rId174" Type="http://schemas.openxmlformats.org/officeDocument/2006/relationships/hyperlink" Target="https://nachi065.github.io/AI-Security-Wiki/23_Framework_Crosswalks/03_NIST_AI_RMF_Crosswalk.html" TargetMode="External"/><Relationship Id="rId175" Type="http://schemas.openxmlformats.org/officeDocument/2006/relationships/hyperlink" Target="https://nachi065.github.io/AI-Security-Wiki/23_Framework_Crosswalks/03_NIST_AI_RMF_Crosswalk.html" TargetMode="External"/><Relationship Id="rId176" Type="http://schemas.openxmlformats.org/officeDocument/2006/relationships/hyperlink" Target="https://nachi065.github.io/AI-Security-Wiki/23_Framework_Crosswalks/03_NIST_AI_RMF_Crosswalk.html" TargetMode="External"/><Relationship Id="rId177" Type="http://schemas.openxmlformats.org/officeDocument/2006/relationships/hyperlink" Target="https://nachi065.github.io/AI-Security-Wiki/23_Framework_Crosswalks/04_NIST_AI_600_1_GenAI_Profile_Crosswalk.html" TargetMode="External"/><Relationship Id="rId178" Type="http://schemas.openxmlformats.org/officeDocument/2006/relationships/hyperlink" Target="https://nachi065.github.io/AI-Security-Wiki/23_Framework_Crosswalks/04_NIST_AI_600_1_GenAI_Profile_Crosswalk.html" TargetMode="External"/><Relationship Id="rId179" Type="http://schemas.openxmlformats.org/officeDocument/2006/relationships/hyperlink" Target="https://nachi065.github.io/AI-Security-Wiki/23_Framework_Crosswalks/04_NIST_AI_600_1_GenAI_Profile_Crosswalk.html" TargetMode="External"/><Relationship Id="rId180" Type="http://schemas.openxmlformats.org/officeDocument/2006/relationships/hyperlink" Target="https://nachi065.github.io/AI-Security-Wiki/23_Framework_Crosswalks/04_NIST_AI_600_1_GenAI_Profile_Crosswalk.html" TargetMode="External"/><Relationship Id="rId181" Type="http://schemas.openxmlformats.org/officeDocument/2006/relationships/hyperlink" Target="https://nachi065.github.io/AI-Security-Wiki/23_Framework_Crosswalks/04_NIST_AI_600_1_GenAI_Profile_Crosswalk.html" TargetMode="External"/><Relationship Id="rId182" Type="http://schemas.openxmlformats.org/officeDocument/2006/relationships/hyperlink" Target="https://nachi065.github.io/AI-Security-Wiki/23_Framework_Crosswalks/04_NIST_AI_600_1_GenAI_Profile_Crosswalk.html" TargetMode="External"/><Relationship Id="rId183" Type="http://schemas.openxmlformats.org/officeDocument/2006/relationships/hyperlink" Target="https://nachi065.github.io/AI-Security-Wiki/23_Framework_Crosswalks/04_NIST_AI_600_1_GenAI_Profile_Crosswalk.html" TargetMode="External"/><Relationship Id="rId184" Type="http://schemas.openxmlformats.org/officeDocument/2006/relationships/hyperlink" Target="https://nachi065.github.io/AI-Security-Wiki/23_Framework_Crosswalks/04_NIST_AI_600_1_GenAI_Profile_Crosswalk.html" TargetMode="External"/><Relationship Id="rId185" Type="http://schemas.openxmlformats.org/officeDocument/2006/relationships/hyperlink" Target="https://nachi065.github.io/AI-Security-Wiki/23_Framework_Crosswalks/04_NIST_AI_600_1_GenAI_Profile_Crosswalk.html" TargetMode="External"/><Relationship Id="rId186" Type="http://schemas.openxmlformats.org/officeDocument/2006/relationships/hyperlink" Target="https://nachi065.github.io/AI-Security-Wiki/23_Framework_Crosswalks/04_NIST_AI_600_1_GenAI_Profile_Crosswalk.html" TargetMode="External"/><Relationship Id="rId187" Type="http://schemas.openxmlformats.org/officeDocument/2006/relationships/hyperlink" Target="https://nachi065.github.io/AI-Security-Wiki/23_Framework_Crosswalks/04_NIST_AI_600_1_GenAI_Profile_Crosswalk.html" TargetMode="External"/><Relationship Id="rId188" Type="http://schemas.openxmlformats.org/officeDocument/2006/relationships/hyperlink" Target="https://nachi065.github.io/AI-Security-Wiki/23_Framework_Crosswalks/04_NIST_AI_600_1_GenAI_Profile_Crosswalk.html" TargetMode="External"/><Relationship Id="rId189" Type="http://schemas.openxmlformats.org/officeDocument/2006/relationships/hyperlink" Target="https://nachi065.github.io/AI-Security-Wiki/23_Framework_Crosswalks/02_AI_BCF_Crosswalk.html" TargetMode="External"/><Relationship Id="rId190" Type="http://schemas.openxmlformats.org/officeDocument/2006/relationships/hyperlink" Target="https://nachi065.github.io/AI-Security-Wiki/23_Framework_Crosswalks/02_AI_BCF_Crosswalk.html" TargetMode="External"/><Relationship Id="rId191" Type="http://schemas.openxmlformats.org/officeDocument/2006/relationships/hyperlink" Target="https://nachi065.github.io/AI-Security-Wiki/23_Framework_Crosswalks/02_AI_BCF_Crosswalk.html" TargetMode="External"/><Relationship Id="rId192" Type="http://schemas.openxmlformats.org/officeDocument/2006/relationships/hyperlink" Target="https://nachi065.github.io/AI-Security-Wiki/23_Framework_Crosswalks/02_AI_BCF_Crosswalk.html" TargetMode="External"/><Relationship Id="rId193" Type="http://schemas.openxmlformats.org/officeDocument/2006/relationships/hyperlink" Target="https://nachi065.github.io/AI-Security-Wiki/23_Framework_Crosswalks/02_AI_BCF_Crosswalk.html" TargetMode="External"/><Relationship Id="rId194" Type="http://schemas.openxmlformats.org/officeDocument/2006/relationships/hyperlink" Target="https://nachi065.github.io/AI-Security-Wiki/23_Framework_Crosswalks/02_AI_BCF_Crosswalk.html" TargetMode="External"/><Relationship Id="rId195" Type="http://schemas.openxmlformats.org/officeDocument/2006/relationships/hyperlink" Target="https://nachi065.github.io/AI-Security-Wiki/23_Framework_Crosswalks/02_AI_BCF_Crosswalk.html" TargetMode="External"/><Relationship Id="rId196" Type="http://schemas.openxmlformats.org/officeDocument/2006/relationships/hyperlink" Target="https://nachi065.github.io/AI-Security-Wiki/23_Framework_Crosswalks/02_AI_BCF_Crosswalk.html" TargetMode="External"/><Relationship Id="rId197" Type="http://schemas.openxmlformats.org/officeDocument/2006/relationships/hyperlink" Target="https://nachi065.github.io/AI-Security-Wiki/23_Framework_Crosswalks/02_AI_BCF_Crosswalk.html" TargetMode="External"/><Relationship Id="rId198" Type="http://schemas.openxmlformats.org/officeDocument/2006/relationships/hyperlink" Target="https://nachi065.github.io/AI-Security-Wiki/23_Framework_Crosswalks/02_AI_BCF_Crosswalk.html" TargetMode="External"/><Relationship Id="rId199" Type="http://schemas.openxmlformats.org/officeDocument/2006/relationships/hyperlink" Target="https://nachi065.github.io/AI-Security-Wiki/23_Framework_Crosswalks/02_AI_BCF_Crosswalk.html" TargetMode="External"/><Relationship Id="rId200" Type="http://schemas.openxmlformats.org/officeDocument/2006/relationships/hyperlink" Target="https://nachi065.github.io/AI-Security-Wiki/23_Framework_Crosswalks/02_AI_BCF_Crosswalk.html" TargetMode="External"/><Relationship Id="rId201" Type="http://schemas.openxmlformats.org/officeDocument/2006/relationships/hyperlink" Target="https://nachi065.github.io/AI-Security-Wiki/23_Framework_Crosswalks/02_AI_BCF_Crosswalk.html" TargetMode="External"/><Relationship Id="rId202" Type="http://schemas.openxmlformats.org/officeDocument/2006/relationships/hyperlink" Target="https://nachi065.github.io/AI-Security-Wiki/23_Framework_Crosswalks/02_AI_BCF_Crosswalk.html" TargetMode="External"/><Relationship Id="rId203" Type="http://schemas.openxmlformats.org/officeDocument/2006/relationships/hyperlink" Target="https://nachi065.github.io/AI-Security-Wiki/23_Framework_Crosswalks/02_AI_BCF_Crosswalk.html" TargetMode="External"/><Relationship Id="rId204" Type="http://schemas.openxmlformats.org/officeDocument/2006/relationships/hyperlink" Target="https://nachi065.github.io/AI-Security-Wiki/23_Framework_Crosswalks/02_AI_BCF_Crosswalk.html" TargetMode="External"/><Relationship Id="rId205" Type="http://schemas.openxmlformats.org/officeDocument/2006/relationships/hyperlink" Target="https://nachi065.github.io/AI-Security-Wiki/23_Framework_Crosswalks/02_AI_BCF_Crosswalk.html" TargetMode="External"/><Relationship Id="rId206" Type="http://schemas.openxmlformats.org/officeDocument/2006/relationships/hyperlink" Target="https://nachi065.github.io/AI-Security-Wiki/23_Framework_Crosswalks/02_AI_BCF_Crosswalk.html" TargetMode="External"/><Relationship Id="rId207" Type="http://schemas.openxmlformats.org/officeDocument/2006/relationships/hyperlink" Target="https://nachi065.github.io/AI-Security-Wiki/23_Framework_Crosswalks/02_AI_BCF_Crosswalk.html" TargetMode="External"/><Relationship Id="rId208" Type="http://schemas.openxmlformats.org/officeDocument/2006/relationships/hyperlink" Target="https://nachi065.github.io/AI-Security-Wiki/23_Framework_Crosswalks/02_AI_BCF_Crosswalk.html" TargetMode="External"/><Relationship Id="rId209" Type="http://schemas.openxmlformats.org/officeDocument/2006/relationships/hyperlink" Target="https://nachi065.github.io/AI-Security-Wiki/23_Framework_Crosswalks/06_OWASP_Top_10_Crosswalk.html" TargetMode="External"/><Relationship Id="rId210" Type="http://schemas.openxmlformats.org/officeDocument/2006/relationships/hyperlink" Target="https://nachi065.github.io/AI-Security-Wiki/23_Framework_Crosswalks/06_OWASP_Top_10_Crosswalk.html" TargetMode="External"/><Relationship Id="rId211" Type="http://schemas.openxmlformats.org/officeDocument/2006/relationships/hyperlink" Target="https://nachi065.github.io/AI-Security-Wiki/23_Framework_Crosswalks/06_OWASP_Top_10_Crosswalk.html" TargetMode="External"/><Relationship Id="rId212" Type="http://schemas.openxmlformats.org/officeDocument/2006/relationships/hyperlink" Target="https://nachi065.github.io/AI-Security-Wiki/23_Framework_Crosswalks/06_OWASP_Top_10_Crosswalk.html" TargetMode="External"/><Relationship Id="rId213" Type="http://schemas.openxmlformats.org/officeDocument/2006/relationships/hyperlink" Target="https://nachi065.github.io/AI-Security-Wiki/23_Framework_Crosswalks/06_OWASP_Top_10_Crosswalk.html" TargetMode="External"/><Relationship Id="rId214" Type="http://schemas.openxmlformats.org/officeDocument/2006/relationships/hyperlink" Target="https://nachi065.github.io/AI-Security-Wiki/23_Framework_Crosswalks/06_OWASP_Top_10_Crosswalk.html" TargetMode="External"/><Relationship Id="rId215" Type="http://schemas.openxmlformats.org/officeDocument/2006/relationships/hyperlink" Target="https://nachi065.github.io/AI-Security-Wiki/23_Framework_Crosswalks/06_OWASP_Top_10_Crosswalk.html" TargetMode="External"/><Relationship Id="rId216" Type="http://schemas.openxmlformats.org/officeDocument/2006/relationships/hyperlink" Target="https://nachi065.github.io/AI-Security-Wiki/23_Framework_Crosswalks/06_OWASP_Top_10_Crosswalk.html" TargetMode="External"/><Relationship Id="rId217" Type="http://schemas.openxmlformats.org/officeDocument/2006/relationships/hyperlink" Target="https://nachi065.github.io/AI-Security-Wiki/23_Framework_Crosswalks/06_OWASP_Top_10_Crosswalk.html" TargetMode="External"/><Relationship Id="rId218" Type="http://schemas.openxmlformats.org/officeDocument/2006/relationships/hyperlink" Target="https://nachi065.github.io/AI-Security-Wiki/23_Framework_Crosswalks/06_OWASP_Top_10_Crosswalk.html" TargetMode="External"/><Relationship Id="rId219" Type="http://schemas.openxmlformats.org/officeDocument/2006/relationships/hyperlink" Target="https://nachi065.github.io/AI-Security-Wiki/23_Framework_Crosswalks/06_OWASP_Top_10_Crosswalk.html" TargetMode="External"/><Relationship Id="rId220" Type="http://schemas.openxmlformats.org/officeDocument/2006/relationships/hyperlink" Target="https://nachi065.github.io/AI-Security-Wiki/23_Framework_Crosswalks/06_OWASP_Top_10_Crosswalk.html" TargetMode="External"/><Relationship Id="rId221" Type="http://schemas.openxmlformats.org/officeDocument/2006/relationships/hyperlink" Target="https://nachi065.github.io/AI-Security-Wiki/23_Framework_Crosswalks/06_OWASP_Top_10_Crosswalk.html" TargetMode="External"/><Relationship Id="rId222" Type="http://schemas.openxmlformats.org/officeDocument/2006/relationships/hyperlink" Target="https://nachi065.github.io/AI-Security-Wiki/23_Framework_Crosswalks/06_OWASP_Top_10_Crosswalk.html" TargetMode="External"/><Relationship Id="rId223" Type="http://schemas.openxmlformats.org/officeDocument/2006/relationships/hyperlink" Target="https://nachi065.github.io/AI-Security-Wiki/23_Framework_Crosswalks/06_OWASP_Top_10_Crosswalk.html" TargetMode="External"/><Relationship Id="rId224" Type="http://schemas.openxmlformats.org/officeDocument/2006/relationships/hyperlink" Target="https://nachi065.github.io/AI-Security-Wiki/23_Framework_Crosswalks/06_OWASP_Top_10_Crosswalk.html" TargetMode="External"/><Relationship Id="rId225" Type="http://schemas.openxmlformats.org/officeDocument/2006/relationships/hyperlink" Target="https://nachi065.github.io/AI-Security-Wiki/23_Framework_Crosswalks/06_OWASP_Top_10_Crosswalk.html" TargetMode="External"/><Relationship Id="rId226" Type="http://schemas.openxmlformats.org/officeDocument/2006/relationships/hyperlink" Target="https://nachi065.github.io/AI-Security-Wiki/23_Framework_Crosswalks/06_OWASP_Top_10_Crosswalk.html" TargetMode="External"/><Relationship Id="rId227" Type="http://schemas.openxmlformats.org/officeDocument/2006/relationships/hyperlink" Target="https://nachi065.github.io/AI-Security-Wiki/23_Framework_Crosswalks/06_OWASP_Top_10_Crosswalk.html" TargetMode="External"/><Relationship Id="rId228" Type="http://schemas.openxmlformats.org/officeDocument/2006/relationships/hyperlink" Target="https://nachi065.github.io/AI-Security-Wiki/23_Framework_Crosswalks/06_OWASP_Top_10_Crosswalk.html" TargetMode="External"/><Relationship Id="rId229" Type="http://schemas.openxmlformats.org/officeDocument/2006/relationships/hyperlink" Target="https://nachi065.github.io/AI-Security-Wiki/23_Framework_Crosswalks/19_OWASP_MCP_Top_10_Crosswalk.html" TargetMode="External"/><Relationship Id="rId230" Type="http://schemas.openxmlformats.org/officeDocument/2006/relationships/hyperlink" Target="https://nachi065.github.io/AI-Security-Wiki/23_Framework_Crosswalks/19_OWASP_MCP_Top_10_Crosswalk.html" TargetMode="External"/><Relationship Id="rId231" Type="http://schemas.openxmlformats.org/officeDocument/2006/relationships/hyperlink" Target="https://nachi065.github.io/AI-Security-Wiki/23_Framework_Crosswalks/19_OWASP_MCP_Top_10_Crosswalk.html" TargetMode="External"/><Relationship Id="rId232" Type="http://schemas.openxmlformats.org/officeDocument/2006/relationships/hyperlink" Target="https://nachi065.github.io/AI-Security-Wiki/23_Framework_Crosswalks/19_OWASP_MCP_Top_10_Crosswalk.html" TargetMode="External"/><Relationship Id="rId233" Type="http://schemas.openxmlformats.org/officeDocument/2006/relationships/hyperlink" Target="https://nachi065.github.io/AI-Security-Wiki/23_Framework_Crosswalks/19_OWASP_MCP_Top_10_Crosswalk.html" TargetMode="External"/><Relationship Id="rId234" Type="http://schemas.openxmlformats.org/officeDocument/2006/relationships/hyperlink" Target="https://nachi065.github.io/AI-Security-Wiki/23_Framework_Crosswalks/19_OWASP_MCP_Top_10_Crosswalk.html" TargetMode="External"/><Relationship Id="rId235" Type="http://schemas.openxmlformats.org/officeDocument/2006/relationships/hyperlink" Target="https://nachi065.github.io/AI-Security-Wiki/23_Framework_Crosswalks/19_OWASP_MCP_Top_10_Crosswalk.html" TargetMode="External"/><Relationship Id="rId236" Type="http://schemas.openxmlformats.org/officeDocument/2006/relationships/hyperlink" Target="https://nachi065.github.io/AI-Security-Wiki/23_Framework_Crosswalks/19_OWASP_MCP_Top_10_Crosswalk.html" TargetMode="External"/><Relationship Id="rId237" Type="http://schemas.openxmlformats.org/officeDocument/2006/relationships/hyperlink" Target="https://nachi065.github.io/AI-Security-Wiki/23_Framework_Crosswalks/19_OWASP_MCP_Top_10_Crosswalk.html" TargetMode="External"/><Relationship Id="rId238" Type="http://schemas.openxmlformats.org/officeDocument/2006/relationships/hyperlink" Target="https://nachi065.github.io/AI-Security-Wiki/23_Framework_Crosswalks/19_OWASP_MCP_Top_10_Crosswalk.html" TargetMode="External"/><Relationship Id="rId239" Type="http://schemas.openxmlformats.org/officeDocument/2006/relationships/hyperlink" Target="https://nachi065.github.io/AI-Security-Wiki/23_Framework_Crosswalks/07_MITRE_ATLAS_Crosswalk.html" TargetMode="External"/><Relationship Id="rId240" Type="http://schemas.openxmlformats.org/officeDocument/2006/relationships/hyperlink" Target="https://nachi065.github.io/AI-Security-Wiki/23_Framework_Crosswalks/07_MITRE_ATLAS_Crosswalk.html" TargetMode="External"/><Relationship Id="rId241" Type="http://schemas.openxmlformats.org/officeDocument/2006/relationships/hyperlink" Target="https://nachi065.github.io/AI-Security-Wiki/23_Framework_Crosswalks/07_MITRE_ATLAS_Crosswalk.html" TargetMode="External"/><Relationship Id="rId242" Type="http://schemas.openxmlformats.org/officeDocument/2006/relationships/hyperlink" Target="https://nachi065.github.io/AI-Security-Wiki/23_Framework_Crosswalks/07_MITRE_ATLAS_Crosswalk.html" TargetMode="External"/><Relationship Id="rId243" Type="http://schemas.openxmlformats.org/officeDocument/2006/relationships/hyperlink" Target="https://nachi065.github.io/AI-Security-Wiki/23_Framework_Crosswalks/07_MITRE_ATLAS_Crosswalk.html" TargetMode="External"/><Relationship Id="rId244" Type="http://schemas.openxmlformats.org/officeDocument/2006/relationships/hyperlink" Target="https://nachi065.github.io/AI-Security-Wiki/23_Framework_Crosswalks/07_MITRE_ATLAS_Crosswalk.html" TargetMode="External"/><Relationship Id="rId245" Type="http://schemas.openxmlformats.org/officeDocument/2006/relationships/hyperlink" Target="https://nachi065.github.io/AI-Security-Wiki/23_Framework_Crosswalks/07_MITRE_ATLAS_Crosswalk.html" TargetMode="External"/><Relationship Id="rId246" Type="http://schemas.openxmlformats.org/officeDocument/2006/relationships/hyperlink" Target="https://nachi065.github.io/AI-Security-Wiki/23_Framework_Crosswalks/07_MITRE_ATLAS_Crosswalk.html" TargetMode="External"/><Relationship Id="rId247" Type="http://schemas.openxmlformats.org/officeDocument/2006/relationships/hyperlink" Target="https://nachi065.github.io/AI-Security-Wiki/23_Framework_Crosswalks/07_MITRE_ATLAS_Crosswalk.html" TargetMode="External"/><Relationship Id="rId248" Type="http://schemas.openxmlformats.org/officeDocument/2006/relationships/hyperlink" Target="https://nachi065.github.io/AI-Security-Wiki/23_Framework_Crosswalks/07_MITRE_ATLAS_Crosswalk.html" TargetMode="External"/><Relationship Id="rId249" Type="http://schemas.openxmlformats.org/officeDocument/2006/relationships/hyperlink" Target="https://nachi065.github.io/AI-Security-Wiki/23_Framework_Crosswalks/07_MITRE_ATLAS_Crosswalk.html" TargetMode="External"/><Relationship Id="rId250" Type="http://schemas.openxmlformats.org/officeDocument/2006/relationships/hyperlink" Target="https://nachi065.github.io/AI-Security-Wiki/23_Framework_Crosswalks/07_MITRE_ATLAS_Crosswalk.html" TargetMode="External"/><Relationship Id="rId251" Type="http://schemas.openxmlformats.org/officeDocument/2006/relationships/hyperlink" Target="https://nachi065.github.io/AI-Security-Wiki/23_Framework_Crosswalks/07_MITRE_ATLAS_Crosswalk.html" TargetMode="External"/><Relationship Id="rId252" Type="http://schemas.openxmlformats.org/officeDocument/2006/relationships/hyperlink" Target="https://nachi065.github.io/AI-Security-Wiki/23_Framework_Crosswalks/07_MITRE_ATLAS_Crosswalk.html" TargetMode="External"/><Relationship Id="rId253" Type="http://schemas.openxmlformats.org/officeDocument/2006/relationships/hyperlink" Target="https://nachi065.github.io/AI-Security-Wiki/23_Framework_Crosswalks/07_MITRE_ATLAS_Crosswalk.html" TargetMode="External"/><Relationship Id="rId254" Type="http://schemas.openxmlformats.org/officeDocument/2006/relationships/hyperlink" Target="https://nachi065.github.io/AI-Security-Wiki/23_Framework_Crosswalks/07_MITRE_ATLAS_Crosswalk.html" TargetMode="External"/><Relationship Id="rId255" Type="http://schemas.openxmlformats.org/officeDocument/2006/relationships/hyperlink" Target="https://nachi065.github.io/AI-Security-Wiki/23_Framework_Crosswalks/07_MITRE_ATLAS_Crosswalk.html" TargetMode="External"/><Relationship Id="rId256" Type="http://schemas.openxmlformats.org/officeDocument/2006/relationships/hyperlink" Target="https://nachi065.github.io/AI-Security-Wiki/23_Framework_Crosswalks/07_MITRE_ATLAS_Crosswalk.html" TargetMode="External"/><Relationship Id="rId257" Type="http://schemas.openxmlformats.org/officeDocument/2006/relationships/hyperlink" Target="https://nachi065.github.io/AI-Security-Wiki/23_Framework_Crosswalks/07_MITRE_ATLAS_Crosswalk.html" TargetMode="External"/><Relationship Id="rId258" Type="http://schemas.openxmlformats.org/officeDocument/2006/relationships/hyperlink" Target="https://nachi065.github.io/AI-Security-Wiki/23_Framework_Crosswalks/07_MITRE_ATLAS_Crosswalk.html" TargetMode="External"/><Relationship Id="rId259" Type="http://schemas.openxmlformats.org/officeDocument/2006/relationships/hyperlink" Target="https://nachi065.github.io/AI-Security-Wiki/23_Framework_Crosswalks/07_MITRE_ATLAS_Crosswalk.html" TargetMode="External"/><Relationship Id="rId260" Type="http://schemas.openxmlformats.org/officeDocument/2006/relationships/hyperlink" Target="https://nachi065.github.io/AI-Security-Wiki/23_Framework_Crosswalks/07_MITRE_ATLAS_Crosswalk.html" TargetMode="External"/><Relationship Id="rId261" Type="http://schemas.openxmlformats.org/officeDocument/2006/relationships/hyperlink" Target="https://nachi065.github.io/AI-Security-Wiki/23_Framework_Crosswalks/07_MITRE_ATLAS_Crosswalk.html" TargetMode="External"/><Relationship Id="rId262" Type="http://schemas.openxmlformats.org/officeDocument/2006/relationships/hyperlink" Target="https://nachi065.github.io/AI-Security-Wiki/23_Framework_Crosswalks/07_MITRE_ATLAS_Crosswalk.html" TargetMode="External"/><Relationship Id="rId263" Type="http://schemas.openxmlformats.org/officeDocument/2006/relationships/hyperlink" Target="https://nachi065.github.io/AI-Security-Wiki/23_Framework_Crosswalks/07_MITRE_ATLAS_Crosswalk.html" TargetMode="External"/><Relationship Id="rId264" Type="http://schemas.openxmlformats.org/officeDocument/2006/relationships/hyperlink" Target="https://nachi065.github.io/AI-Security-Wiki/23_Framework_Crosswalks/07_MITRE_ATLAS_Crosswalk.html" TargetMode="External"/><Relationship Id="rId265" Type="http://schemas.openxmlformats.org/officeDocument/2006/relationships/hyperlink" Target="https://nachi065.github.io/AI-Security-Wiki/23_Framework_Crosswalks/07_MITRE_ATLAS_Crosswalk.html" TargetMode="External"/><Relationship Id="rId266" Type="http://schemas.openxmlformats.org/officeDocument/2006/relationships/hyperlink" Target="https://nachi065.github.io/AI-Security-Wiki/23_Framework_Crosswalks/07_MITRE_ATLAS_Crosswalk.html" TargetMode="External"/><Relationship Id="rId267" Type="http://schemas.openxmlformats.org/officeDocument/2006/relationships/hyperlink" Target="https://nachi065.github.io/AI-Security-Wiki/23_Framework_Crosswalks/07_MITRE_ATLAS_Crosswalk.html" TargetMode="External"/><Relationship Id="rId268" Type="http://schemas.openxmlformats.org/officeDocument/2006/relationships/hyperlink" Target="https://nachi065.github.io/AI-Security-Wiki/23_Framework_Crosswalks/07_MITRE_ATLAS_Crosswalk.html" TargetMode="External"/><Relationship Id="rId269" Type="http://schemas.openxmlformats.org/officeDocument/2006/relationships/hyperlink" Target="https://nachi065.github.io/AI-Security-Wiki/23_Framework_Crosswalks/07_MITRE_ATLAS_Crosswalk.html" TargetMode="External"/><Relationship Id="rId270" Type="http://schemas.openxmlformats.org/officeDocument/2006/relationships/hyperlink" Target="https://nachi065.github.io/AI-Security-Wiki/23_Framework_Crosswalks/07_MITRE_ATLAS_Crosswalk.html" TargetMode="External"/><Relationship Id="rId271" Type="http://schemas.openxmlformats.org/officeDocument/2006/relationships/hyperlink" Target="https://nachi065.github.io/AI-Security-Wiki/23_Framework_Crosswalks/07_MITRE_ATLAS_Crosswalk.html" TargetMode="External"/><Relationship Id="rId272" Type="http://schemas.openxmlformats.org/officeDocument/2006/relationships/hyperlink" Target="https://nachi065.github.io/AI-Security-Wiki/23_Framework_Crosswalks/07_MITRE_ATLAS_Crosswalk.html" TargetMode="External"/><Relationship Id="rId273" Type="http://schemas.openxmlformats.org/officeDocument/2006/relationships/hyperlink" Target="https://nachi065.github.io/AI-Security-Wiki/23_Framework_Crosswalks/07_MITRE_ATLAS_Crosswalk.html" TargetMode="External"/><Relationship Id="rId274" Type="http://schemas.openxmlformats.org/officeDocument/2006/relationships/hyperlink" Target="https://nachi065.github.io/AI-Security-Wiki/23_Framework_Crosswalks/07_MITRE_ATLAS_Crosswalk.html" TargetMode="External"/><Relationship Id="rId275" Type="http://schemas.openxmlformats.org/officeDocument/2006/relationships/hyperlink" Target="https://nachi065.github.io/AI-Security-Wiki/23_Framework_Crosswalks/07_MITRE_ATLAS_Crosswalk.html" TargetMode="External"/><Relationship Id="rId276" Type="http://schemas.openxmlformats.org/officeDocument/2006/relationships/hyperlink" Target="https://nachi065.github.io/AI-Security-Wiki/23_Framework_Crosswalks/07_MITRE_ATLAS_Crosswalk.html" TargetMode="External"/><Relationship Id="rId277" Type="http://schemas.openxmlformats.org/officeDocument/2006/relationships/hyperlink" Target="https://nachi065.github.io/AI-Security-Wiki/23_Framework_Crosswalks/07_MITRE_ATLAS_Crosswalk.html" TargetMode="External"/><Relationship Id="rId278" Type="http://schemas.openxmlformats.org/officeDocument/2006/relationships/hyperlink" Target="https://nachi065.github.io/AI-Security-Wiki/23_Framework_Crosswalks/07_MITRE_ATLAS_Crosswalk.html" TargetMode="External"/><Relationship Id="rId279" Type="http://schemas.openxmlformats.org/officeDocument/2006/relationships/hyperlink" Target="https://nachi065.github.io/AI-Security-Wiki/23_Framework_Crosswalks/07_MITRE_ATLAS_Crosswalk.html" TargetMode="External"/><Relationship Id="rId280" Type="http://schemas.openxmlformats.org/officeDocument/2006/relationships/hyperlink" Target="https://nachi065.github.io/AI-Security-Wiki/23_Framework_Crosswalks/07_MITRE_ATLAS_Crosswalk.html" TargetMode="External"/><Relationship Id="rId281" Type="http://schemas.openxmlformats.org/officeDocument/2006/relationships/hyperlink" Target="https://nachi065.github.io/AI-Security-Wiki/23_Framework_Crosswalks/07_MITRE_ATLAS_Crosswalk.html" TargetMode="External"/><Relationship Id="rId282" Type="http://schemas.openxmlformats.org/officeDocument/2006/relationships/hyperlink" Target="https://nachi065.github.io/AI-Security-Wiki/23_Framework_Crosswalks/07_MITRE_ATLAS_Crosswalk.html" TargetMode="External"/><Relationship Id="rId283" Type="http://schemas.openxmlformats.org/officeDocument/2006/relationships/hyperlink" Target="https://nachi065.github.io/AI-Security-Wiki/23_Framework_Crosswalks/07_MITRE_ATLAS_Crosswalk.html" TargetMode="External"/><Relationship Id="rId284" Type="http://schemas.openxmlformats.org/officeDocument/2006/relationships/hyperlink" Target="https://nachi065.github.io/AI-Security-Wiki/23_Framework_Crosswalks/07_MITRE_ATLAS_Crosswalk.html" TargetMode="External"/><Relationship Id="rId285" Type="http://schemas.openxmlformats.org/officeDocument/2006/relationships/hyperlink" Target="https://nachi065.github.io/AI-Security-Wiki/23_Framework_Crosswalks/07_MITRE_ATLAS_Crosswalk.html" TargetMode="External"/><Relationship Id="rId286" Type="http://schemas.openxmlformats.org/officeDocument/2006/relationships/hyperlink" Target="https://nachi065.github.io/AI-Security-Wiki/23_Framework_Crosswalks/07_MITRE_ATLAS_Crosswalk.html" TargetMode="External"/><Relationship Id="rId287" Type="http://schemas.openxmlformats.org/officeDocument/2006/relationships/hyperlink" Target="https://nachi065.github.io/AI-Security-Wiki/23_Framework_Crosswalks/07_MITRE_ATLAS_Crosswalk.html" TargetMode="External"/><Relationship Id="rId288" Type="http://schemas.openxmlformats.org/officeDocument/2006/relationships/hyperlink" Target="https://nachi065.github.io/AI-Security-Wiki/23_Framework_Crosswalks/07_MITRE_ATLAS_Crosswalk.html" TargetMode="External"/><Relationship Id="rId289" Type="http://schemas.openxmlformats.org/officeDocument/2006/relationships/hyperlink" Target="https://nachi065.github.io/AI-Security-Wiki/23_Framework_Crosswalks/07_MITRE_ATLAS_Crosswalk.html" TargetMode="External"/><Relationship Id="rId290" Type="http://schemas.openxmlformats.org/officeDocument/2006/relationships/hyperlink" Target="https://nachi065.github.io/AI-Security-Wiki/23_Framework_Crosswalks/07_MITRE_ATLAS_Crosswalk.html" TargetMode="External"/><Relationship Id="rId291" Type="http://schemas.openxmlformats.org/officeDocument/2006/relationships/hyperlink" Target="https://nachi065.github.io/AI-Security-Wiki/23_Framework_Crosswalks/07_MITRE_ATLAS_Crosswalk.html" TargetMode="External"/><Relationship Id="rId292" Type="http://schemas.openxmlformats.org/officeDocument/2006/relationships/hyperlink" Target="https://nachi065.github.io/AI-Security-Wiki/23_Framework_Crosswalks/07_MITRE_ATLAS_Crosswalk.html" TargetMode="External"/><Relationship Id="rId293" Type="http://schemas.openxmlformats.org/officeDocument/2006/relationships/hyperlink" Target="https://nachi065.github.io/AI-Security-Wiki/23_Framework_Crosswalks/07_MITRE_ATLAS_Crosswalk.html" TargetMode="External"/><Relationship Id="rId294" Type="http://schemas.openxmlformats.org/officeDocument/2006/relationships/hyperlink" Target="https://nachi065.github.io/AI-Security-Wiki/23_Framework_Crosswalks/07_MITRE_ATLAS_Crosswalk.html" TargetMode="External"/><Relationship Id="rId295" Type="http://schemas.openxmlformats.org/officeDocument/2006/relationships/hyperlink" Target="https://nachi065.github.io/AI-Security-Wiki/23_Framework_Crosswalks/07_MITRE_ATLAS_Crosswalk.html" TargetMode="External"/><Relationship Id="rId296" Type="http://schemas.openxmlformats.org/officeDocument/2006/relationships/hyperlink" Target="https://nachi065.github.io/AI-Security-Wiki/23_Framework_Crosswalks/07_MITRE_ATLAS_Crosswalk.html" TargetMode="External"/><Relationship Id="rId297" Type="http://schemas.openxmlformats.org/officeDocument/2006/relationships/hyperlink" Target="https://nachi065.github.io/AI-Security-Wiki/23_Framework_Crosswalks/07_MITRE_ATLAS_Crosswalk.html" TargetMode="External"/><Relationship Id="rId298" Type="http://schemas.openxmlformats.org/officeDocument/2006/relationships/hyperlink" Target="https://nachi065.github.io/AI-Security-Wiki/23_Framework_Crosswalks/07_MITRE_ATLAS_Crosswalk.html" TargetMode="External"/><Relationship Id="rId299" Type="http://schemas.openxmlformats.org/officeDocument/2006/relationships/hyperlink" Target="https://nachi065.github.io/AI-Security-Wiki/23_Framework_Crosswalks/07_MITRE_ATLAS_Crosswalk.html" TargetMode="External"/><Relationship Id="rId300" Type="http://schemas.openxmlformats.org/officeDocument/2006/relationships/hyperlink" Target="https://nachi065.github.io/AI-Security-Wiki/23_Framework_Crosswalks/07_MITRE_ATLAS_Crosswalk.html" TargetMode="External"/><Relationship Id="rId301" Type="http://schemas.openxmlformats.org/officeDocument/2006/relationships/hyperlink" Target="https://nachi065.github.io/AI-Security-Wiki/23_Framework_Crosswalks/07_MITRE_ATLAS_Crosswalk.html" TargetMode="External"/><Relationship Id="rId302" Type="http://schemas.openxmlformats.org/officeDocument/2006/relationships/hyperlink" Target="https://nachi065.github.io/AI-Security-Wiki/23_Framework_Crosswalks/07_MITRE_ATLAS_Crosswalk.html" TargetMode="External"/><Relationship Id="rId303" Type="http://schemas.openxmlformats.org/officeDocument/2006/relationships/hyperlink" Target="https://nachi065.github.io/AI-Security-Wiki/23_Framework_Crosswalks/07_MITRE_ATLAS_Crosswalk.html" TargetMode="External"/><Relationship Id="rId304" Type="http://schemas.openxmlformats.org/officeDocument/2006/relationships/hyperlink" Target="https://nachi065.github.io/AI-Security-Wiki/23_Framework_Crosswalks/07_MITRE_ATLAS_Crosswalk.html" TargetMode="External"/><Relationship Id="rId305" Type="http://schemas.openxmlformats.org/officeDocument/2006/relationships/hyperlink" Target="https://nachi065.github.io/AI-Security-Wiki/23_Framework_Crosswalks/07_MITRE_ATLAS_Crosswalk.html" TargetMode="External"/><Relationship Id="rId306" Type="http://schemas.openxmlformats.org/officeDocument/2006/relationships/hyperlink" Target="https://nachi065.github.io/AI-Security-Wiki/23_Framework_Crosswalks/07_MITRE_ATLAS_Crosswalk.html" TargetMode="External"/><Relationship Id="rId307" Type="http://schemas.openxmlformats.org/officeDocument/2006/relationships/hyperlink" Target="https://nachi065.github.io/AI-Security-Wiki/23_Framework_Crosswalks/07_MITRE_ATLAS_Crosswalk.html" TargetMode="External"/><Relationship Id="rId308" Type="http://schemas.openxmlformats.org/officeDocument/2006/relationships/hyperlink" Target="https://nachi065.github.io/AI-Security-Wiki/23_Framework_Crosswalks/07_MITRE_ATLAS_Crosswalk.html" TargetMode="External"/><Relationship Id="rId309" Type="http://schemas.openxmlformats.org/officeDocument/2006/relationships/hyperlink" Target="https://nachi065.github.io/AI-Security-Wiki/23_Framework_Crosswalks/07_MITRE_ATLAS_Crosswalk.html" TargetMode="External"/><Relationship Id="rId310" Type="http://schemas.openxmlformats.org/officeDocument/2006/relationships/hyperlink" Target="https://nachi065.github.io/AI-Security-Wiki/23_Framework_Crosswalks/07_MITRE_ATLAS_Crosswalk.html" TargetMode="External"/><Relationship Id="rId311" Type="http://schemas.openxmlformats.org/officeDocument/2006/relationships/hyperlink" Target="https://nachi065.github.io/AI-Security-Wiki/23_Framework_Crosswalks/07_MITRE_ATLAS_Crosswalk.html" TargetMode="External"/><Relationship Id="rId312" Type="http://schemas.openxmlformats.org/officeDocument/2006/relationships/hyperlink" Target="https://nachi065.github.io/AI-Security-Wiki/23_Framework_Crosswalks/07_MITRE_ATLAS_Crosswalk.html" TargetMode="External"/><Relationship Id="rId313" Type="http://schemas.openxmlformats.org/officeDocument/2006/relationships/hyperlink" Target="https://nachi065.github.io/AI-Security-Wiki/23_Framework_Crosswalks/07_MITRE_ATLAS_Crosswalk.html" TargetMode="External"/><Relationship Id="rId314" Type="http://schemas.openxmlformats.org/officeDocument/2006/relationships/hyperlink" Target="https://nachi065.github.io/AI-Security-Wiki/23_Framework_Crosswalks/07_MITRE_ATLAS_Crosswalk.html" TargetMode="External"/><Relationship Id="rId315" Type="http://schemas.openxmlformats.org/officeDocument/2006/relationships/hyperlink" Target="https://nachi065.github.io/AI-Security-Wiki/23_Framework_Crosswalks/07_MITRE_ATLAS_Crosswalk.html" TargetMode="External"/><Relationship Id="rId316" Type="http://schemas.openxmlformats.org/officeDocument/2006/relationships/hyperlink" Target="https://nachi065.github.io/AI-Security-Wiki/23_Framework_Crosswalks/07_MITRE_ATLAS_Crosswalk.html" TargetMode="External"/><Relationship Id="rId317" Type="http://schemas.openxmlformats.org/officeDocument/2006/relationships/hyperlink" Target="https://nachi065.github.io/AI-Security-Wiki/23_Framework_Crosswalks/07_MITRE_ATLAS_Crosswalk.html" TargetMode="External"/><Relationship Id="rId318" Type="http://schemas.openxmlformats.org/officeDocument/2006/relationships/hyperlink" Target="https://nachi065.github.io/AI-Security-Wiki/23_Framework_Crosswalks/07_MITRE_ATLAS_Crosswalk.html" TargetMode="External"/><Relationship Id="rId319" Type="http://schemas.openxmlformats.org/officeDocument/2006/relationships/hyperlink" Target="https://nachi065.github.io/AI-Security-Wiki/23_Framework_Crosswalks/07_MITRE_ATLAS_Crosswalk.html" TargetMode="External"/><Relationship Id="rId320" Type="http://schemas.openxmlformats.org/officeDocument/2006/relationships/hyperlink" Target="https://nachi065.github.io/AI-Security-Wiki/23_Framework_Crosswalks/07_MITRE_ATLAS_Crosswalk.html" TargetMode="External"/><Relationship Id="rId321" Type="http://schemas.openxmlformats.org/officeDocument/2006/relationships/hyperlink" Target="https://nachi065.github.io/AI-Security-Wiki/23_Framework_Crosswalks/07_MITRE_ATLAS_Crosswalk.html" TargetMode="External"/><Relationship Id="rId322" Type="http://schemas.openxmlformats.org/officeDocument/2006/relationships/hyperlink" Target="https://nachi065.github.io/AI-Security-Wiki/23_Framework_Crosswalks/07_MITRE_ATLAS_Crosswalk.html" TargetMode="External"/><Relationship Id="rId323" Type="http://schemas.openxmlformats.org/officeDocument/2006/relationships/hyperlink" Target="https://nachi065.github.io/AI-Security-Wiki/23_Framework_Crosswalks/07_MITRE_ATLAS_Crosswalk.html" TargetMode="External"/><Relationship Id="rId324" Type="http://schemas.openxmlformats.org/officeDocument/2006/relationships/hyperlink" Target="https://nachi065.github.io/AI-Security-Wiki/23_Framework_Crosswalks/07_MITRE_ATLAS_Crosswalk.html" TargetMode="External"/><Relationship Id="rId325" Type="http://schemas.openxmlformats.org/officeDocument/2006/relationships/hyperlink" Target="https://nachi065.github.io/AI-Security-Wiki/23_Framework_Crosswalks/07_MITRE_ATLAS_Crosswalk.html" TargetMode="External"/><Relationship Id="rId326" Type="http://schemas.openxmlformats.org/officeDocument/2006/relationships/hyperlink" Target="https://nachi065.github.io/AI-Security-Wiki/23_Framework_Crosswalks/14_NIST_AI_100_2_Crosswalk.html" TargetMode="External"/><Relationship Id="rId327" Type="http://schemas.openxmlformats.org/officeDocument/2006/relationships/hyperlink" Target="https://nachi065.github.io/AI-Security-Wiki/23_Framework_Crosswalks/14_NIST_AI_100_2_Crosswalk.html" TargetMode="External"/><Relationship Id="rId328" Type="http://schemas.openxmlformats.org/officeDocument/2006/relationships/hyperlink" Target="https://nachi065.github.io/AI-Security-Wiki/23_Framework_Crosswalks/14_NIST_AI_100_2_Crosswalk.html" TargetMode="External"/><Relationship Id="rId329" Type="http://schemas.openxmlformats.org/officeDocument/2006/relationships/hyperlink" Target="https://nachi065.github.io/AI-Security-Wiki/23_Framework_Crosswalks/14_NIST_AI_100_2_Crosswalk.html" TargetMode="External"/><Relationship Id="rId330" Type="http://schemas.openxmlformats.org/officeDocument/2006/relationships/hyperlink" Target="https://nachi065.github.io/AI-Security-Wiki/23_Framework_Crosswalks/14_NIST_AI_100_2_Crosswalk.html" TargetMode="External"/><Relationship Id="rId331" Type="http://schemas.openxmlformats.org/officeDocument/2006/relationships/hyperlink" Target="https://nachi065.github.io/AI-Security-Wiki/23_Framework_Crosswalks/14_NIST_AI_100_2_Crosswalk.html" TargetMode="External"/><Relationship Id="rId332" Type="http://schemas.openxmlformats.org/officeDocument/2006/relationships/hyperlink" Target="https://nachi065.github.io/AI-Security-Wiki/23_Framework_Crosswalks/14_NIST_AI_100_2_Crosswalk.html" TargetMode="External"/><Relationship Id="rId333" Type="http://schemas.openxmlformats.org/officeDocument/2006/relationships/hyperlink" Target="https://nachi065.github.io/AI-Security-Wiki/23_Framework_Crosswalks/14_NIST_AI_100_2_Crosswalk.html" TargetMode="External"/><Relationship Id="rId334" Type="http://schemas.openxmlformats.org/officeDocument/2006/relationships/hyperlink" Target="https://nachi065.github.io/AI-Security-Wiki/23_Framework_Crosswalks/14_NIST_AI_100_2_Crosswalk.html" TargetMode="External"/><Relationship Id="rId335" Type="http://schemas.openxmlformats.org/officeDocument/2006/relationships/hyperlink" Target="https://nachi065.github.io/AI-Security-Wiki/23_Framework_Crosswalks/14_NIST_AI_100_2_Crosswalk.html" TargetMode="External"/><Relationship Id="rId336" Type="http://schemas.openxmlformats.org/officeDocument/2006/relationships/hyperlink" Target="https://nachi065.github.io/AI-Security-Wiki/23_Framework_Crosswalks/14_NIST_AI_100_2_Crosswalk.html" TargetMode="External"/><Relationship Id="rId337" Type="http://schemas.openxmlformats.org/officeDocument/2006/relationships/hyperlink" Target="https://nachi065.github.io/AI-Security-Wiki/23_Framework_Crosswalks/14_NIST_AI_100_2_Crosswalk.html" TargetMode="External"/><Relationship Id="rId338" Type="http://schemas.openxmlformats.org/officeDocument/2006/relationships/hyperlink" Target="https://nachi065.github.io/AI-Security-Wiki/23_Framework_Crosswalks/14_NIST_AI_100_2_Crosswalk.html" TargetMode="External"/><Relationship Id="rId339" Type="http://schemas.openxmlformats.org/officeDocument/2006/relationships/hyperlink" Target="https://nachi065.github.io/AI-Security-Wiki/23_Framework_Crosswalks/14_NIST_AI_100_2_Crosswalk.html" TargetMode="External"/><Relationship Id="rId340" Type="http://schemas.openxmlformats.org/officeDocument/2006/relationships/hyperlink" Target="https://nachi065.github.io/AI-Security-Wiki/23_Framework_Crosswalks/14_NIST_AI_100_2_Crosswalk.html" TargetMode="External"/><Relationship Id="rId341" Type="http://schemas.openxmlformats.org/officeDocument/2006/relationships/hyperlink" Target="https://nachi065.github.io/AI-Security-Wiki/23_Framework_Crosswalks/14_NIST_AI_100_2_Crosswalk.html" TargetMode="External"/><Relationship Id="rId342" Type="http://schemas.openxmlformats.org/officeDocument/2006/relationships/hyperlink" Target="https://nachi065.github.io/AI-Security-Wiki/23_Framework_Crosswalks/14_NIST_AI_100_2_Crosswalk.html" TargetMode="External"/><Relationship Id="rId343" Type="http://schemas.openxmlformats.org/officeDocument/2006/relationships/hyperlink" Target="https://nachi065.github.io/AI-Security-Wiki/23_Framework_Crosswalks/14_NIST_AI_100_2_Crosswalk.html" TargetMode="External"/><Relationship Id="rId344" Type="http://schemas.openxmlformats.org/officeDocument/2006/relationships/hyperlink" Target="https://nachi065.github.io/AI-Security-Wiki/23_Framework_Crosswalks/14_NIST_AI_100_2_Crosswalk.html" TargetMode="External"/><Relationship Id="rId345" Type="http://schemas.openxmlformats.org/officeDocument/2006/relationships/hyperlink" Target="https://nachi065.github.io/AI-Security-Wiki/23_Framework_Crosswalks/14_NIST_AI_100_2_Crosswalk.html" TargetMode="External"/><Relationship Id="rId346" Type="http://schemas.openxmlformats.org/officeDocument/2006/relationships/hyperlink" Target="https://nachi065.github.io/AI-Security-Wiki/23_Framework_Crosswalks/14_NIST_AI_100_2_Crosswalk.html" TargetMode="External"/><Relationship Id="rId347" Type="http://schemas.openxmlformats.org/officeDocument/2006/relationships/hyperlink" Target="https://nachi065.github.io/AI-Security-Wiki/23_Framework_Crosswalks/14_NIST_AI_100_2_Crosswalk.html" TargetMode="External"/><Relationship Id="rId348" Type="http://schemas.openxmlformats.org/officeDocument/2006/relationships/hyperlink" Target="https://nachi065.github.io/AI-Security-Wiki/23_Framework_Crosswalks/14_NIST_AI_100_2_Crosswalk.html" TargetMode="External"/><Relationship Id="rId349" Type="http://schemas.openxmlformats.org/officeDocument/2006/relationships/hyperlink" Target="https://nachi065.github.io/AI-Security-Wiki/23_Framework_Crosswalks/14_NIST_AI_100_2_Crosswalk.html" TargetMode="External"/><Relationship Id="rId350" Type="http://schemas.openxmlformats.org/officeDocument/2006/relationships/hyperlink" Target="https://nachi065.github.io/AI-Security-Wiki/23_Framework_Crosswalks/14_NIST_AI_100_2_Crosswalk.html" TargetMode="External"/><Relationship Id="rId351" Type="http://schemas.openxmlformats.org/officeDocument/2006/relationships/hyperlink" Target="https://nachi065.github.io/AI-Security-Wiki/23_Framework_Crosswalks/14_NIST_AI_100_2_Crosswalk.html" TargetMode="External"/><Relationship Id="rId352" Type="http://schemas.openxmlformats.org/officeDocument/2006/relationships/hyperlink" Target="https://nachi065.github.io/AI-Security-Wiki/23_Framework_Crosswalks/05_ISO_IEC_42001_Crosswalk.html" TargetMode="External"/><Relationship Id="rId353" Type="http://schemas.openxmlformats.org/officeDocument/2006/relationships/hyperlink" Target="https://nachi065.github.io/AI-Security-Wiki/23_Framework_Crosswalks/05_ISO_IEC_42001_Crosswalk.html" TargetMode="External"/><Relationship Id="rId354" Type="http://schemas.openxmlformats.org/officeDocument/2006/relationships/hyperlink" Target="https://nachi065.github.io/AI-Security-Wiki/23_Framework_Crosswalks/05_ISO_IEC_42001_Crosswalk.html" TargetMode="External"/><Relationship Id="rId355" Type="http://schemas.openxmlformats.org/officeDocument/2006/relationships/hyperlink" Target="https://nachi065.github.io/AI-Security-Wiki/23_Framework_Crosswalks/05_ISO_IEC_42001_Crosswalk.html" TargetMode="External"/><Relationship Id="rId356" Type="http://schemas.openxmlformats.org/officeDocument/2006/relationships/hyperlink" Target="https://nachi065.github.io/AI-Security-Wiki/23_Framework_Crosswalks/05_ISO_IEC_42001_Crosswalk.html" TargetMode="External"/><Relationship Id="rId357" Type="http://schemas.openxmlformats.org/officeDocument/2006/relationships/hyperlink" Target="https://nachi065.github.io/AI-Security-Wiki/23_Framework_Crosswalks/05_ISO_IEC_42001_Crosswalk.html" TargetMode="External"/><Relationship Id="rId358" Type="http://schemas.openxmlformats.org/officeDocument/2006/relationships/hyperlink" Target="https://nachi065.github.io/AI-Security-Wiki/23_Framework_Crosswalks/05_ISO_IEC_42001_Crosswalk.html" TargetMode="External"/><Relationship Id="rId359" Type="http://schemas.openxmlformats.org/officeDocument/2006/relationships/hyperlink" Target="https://nachi065.github.io/AI-Security-Wiki/23_Framework_Crosswalks/05_ISO_IEC_42001_Crosswalk.html" TargetMode="External"/><Relationship Id="rId360" Type="http://schemas.openxmlformats.org/officeDocument/2006/relationships/hyperlink" Target="https://nachi065.github.io/AI-Security-Wiki/23_Framework_Crosswalks/05_ISO_IEC_42001_Crosswalk.html" TargetMode="External"/><Relationship Id="rId361" Type="http://schemas.openxmlformats.org/officeDocument/2006/relationships/hyperlink" Target="https://nachi065.github.io/AI-Security-Wiki/23_Framework_Crosswalks/05_ISO_IEC_42001_Crosswalk.html" TargetMode="External"/><Relationship Id="rId362" Type="http://schemas.openxmlformats.org/officeDocument/2006/relationships/hyperlink" Target="https://nachi065.github.io/AI-Security-Wiki/23_Framework_Crosswalks/05_ISO_IEC_42001_Crosswalk.html" TargetMode="External"/><Relationship Id="rId363" Type="http://schemas.openxmlformats.org/officeDocument/2006/relationships/hyperlink" Target="https://nachi065.github.io/AI-Security-Wiki/23_Framework_Crosswalks/05_ISO_IEC_42001_Crosswalk.html" TargetMode="External"/><Relationship Id="rId364" Type="http://schemas.openxmlformats.org/officeDocument/2006/relationships/hyperlink" Target="https://nachi065.github.io/AI-Security-Wiki/23_Framework_Crosswalks/05_ISO_IEC_42001_Crosswalk.html" TargetMode="External"/><Relationship Id="rId365" Type="http://schemas.openxmlformats.org/officeDocument/2006/relationships/hyperlink" Target="https://nachi065.github.io/AI-Security-Wiki/23_Framework_Crosswalks/05_ISO_IEC_42001_Crosswalk.html" TargetMode="External"/><Relationship Id="rId366" Type="http://schemas.openxmlformats.org/officeDocument/2006/relationships/hyperlink" Target="https://nachi065.github.io/AI-Security-Wiki/23_Framework_Crosswalks/05_ISO_IEC_42001_Crosswalk.html" TargetMode="External"/><Relationship Id="rId367" Type="http://schemas.openxmlformats.org/officeDocument/2006/relationships/hyperlink" Target="https://nachi065.github.io/AI-Security-Wiki/23_Framework_Crosswalks/05_ISO_IEC_42001_Crosswalk.html" TargetMode="External"/><Relationship Id="rId368" Type="http://schemas.openxmlformats.org/officeDocument/2006/relationships/hyperlink" Target="https://nachi065.github.io/AI-Security-Wiki/23_Framework_Crosswalks/05_ISO_IEC_42001_Crosswalk.html" TargetMode="External"/><Relationship Id="rId369" Type="http://schemas.openxmlformats.org/officeDocument/2006/relationships/hyperlink" Target="https://nachi065.github.io/AI-Security-Wiki/23_Framework_Crosswalks/05_ISO_IEC_42001_Crosswalk.html" TargetMode="External"/><Relationship Id="rId370" Type="http://schemas.openxmlformats.org/officeDocument/2006/relationships/hyperlink" Target="https://nachi065.github.io/AI-Security-Wiki/23_Framework_Crosswalks/05_ISO_IEC_42001_Crosswalk.html" TargetMode="External"/><Relationship Id="rId371" Type="http://schemas.openxmlformats.org/officeDocument/2006/relationships/hyperlink" Target="https://nachi065.github.io/AI-Security-Wiki/23_Framework_Crosswalks/05_ISO_IEC_42001_Crosswalk.html" TargetMode="External"/><Relationship Id="rId372" Type="http://schemas.openxmlformats.org/officeDocument/2006/relationships/hyperlink" Target="https://nachi065.github.io/AI-Security-Wiki/23_Framework_Crosswalks/05_ISO_IEC_42001_Crosswalk.html" TargetMode="External"/><Relationship Id="rId373" Type="http://schemas.openxmlformats.org/officeDocument/2006/relationships/hyperlink" Target="https://nachi065.github.io/AI-Security-Wiki/23_Framework_Crosswalks/05_ISO_IEC_42001_Crosswalk.html" TargetMode="External"/><Relationship Id="rId374" Type="http://schemas.openxmlformats.org/officeDocument/2006/relationships/hyperlink" Target="https://nachi065.github.io/AI-Security-Wiki/23_Framework_Crosswalks/05_ISO_IEC_42001_Crosswalk.html" TargetMode="External"/><Relationship Id="rId375" Type="http://schemas.openxmlformats.org/officeDocument/2006/relationships/hyperlink" Target="https://nachi065.github.io/AI-Security-Wiki/23_Framework_Crosswalks/05_ISO_IEC_42001_Crosswalk.html" TargetMode="External"/><Relationship Id="rId376" Type="http://schemas.openxmlformats.org/officeDocument/2006/relationships/hyperlink" Target="https://nachi065.github.io/AI-Security-Wiki/23_Framework_Crosswalks/05_ISO_IEC_42001_Crosswalk.html" TargetMode="External"/><Relationship Id="rId377" Type="http://schemas.openxmlformats.org/officeDocument/2006/relationships/hyperlink" Target="https://nachi065.github.io/AI-Security-Wiki/23_Framework_Crosswalks/05_ISO_IEC_42001_Crosswalk.html" TargetMode="External"/><Relationship Id="rId378" Type="http://schemas.openxmlformats.org/officeDocument/2006/relationships/hyperlink" Target="https://nachi065.github.io/AI-Security-Wiki/23_Framework_Crosswalks/05_ISO_IEC_42001_Crosswalk.html" TargetMode="External"/><Relationship Id="rId379" Type="http://schemas.openxmlformats.org/officeDocument/2006/relationships/hyperlink" Target="https://nachi065.github.io/AI-Security-Wiki/23_Framework_Crosswalks/05_ISO_IEC_42001_Crosswalk.html" TargetMode="External"/><Relationship Id="rId380" Type="http://schemas.openxmlformats.org/officeDocument/2006/relationships/hyperlink" Target="https://nachi065.github.io/AI-Security-Wiki/23_Framework_Crosswalks/05_ISO_IEC_42001_Crosswalk.html" TargetMode="External"/><Relationship Id="rId381" Type="http://schemas.openxmlformats.org/officeDocument/2006/relationships/hyperlink" Target="https://nachi065.github.io/AI-Security-Wiki/23_Framework_Crosswalks/05_ISO_IEC_42001_Crosswalk.html" TargetMode="External"/><Relationship Id="rId382" Type="http://schemas.openxmlformats.org/officeDocument/2006/relationships/hyperlink" Target="https://nachi065.github.io/AI-Security-Wiki/23_Framework_Crosswalks/05_ISO_IEC_42001_Crosswalk.html" TargetMode="External"/><Relationship Id="rId383" Type="http://schemas.openxmlformats.org/officeDocument/2006/relationships/hyperlink" Target="https://nachi065.github.io/AI-Security-Wiki/23_Framework_Crosswalks/05_ISO_IEC_42001_Crosswalk.html" TargetMode="External"/><Relationship Id="rId384" Type="http://schemas.openxmlformats.org/officeDocument/2006/relationships/hyperlink" Target="https://nachi065.github.io/AI-Security-Wiki/23_Framework_Crosswalks/05_ISO_IEC_42001_Crosswalk.html" TargetMode="External"/><Relationship Id="rId385" Type="http://schemas.openxmlformats.org/officeDocument/2006/relationships/hyperlink" Target="https://nachi065.github.io/AI-Security-Wiki/23_Framework_Crosswalks/05_ISO_IEC_42001_Crosswalk.html" TargetMode="External"/><Relationship Id="rId386" Type="http://schemas.openxmlformats.org/officeDocument/2006/relationships/hyperlink" Target="https://nachi065.github.io/AI-Security-Wiki/23_Framework_Crosswalks/05_ISO_IEC_42001_Crosswalk.html" TargetMode="External"/><Relationship Id="rId387" Type="http://schemas.openxmlformats.org/officeDocument/2006/relationships/hyperlink" Target="https://nachi065.github.io/AI-Security-Wiki/23_Framework_Crosswalks/05_ISO_IEC_42001_Crosswalk.html" TargetMode="External"/><Relationship Id="rId388" Type="http://schemas.openxmlformats.org/officeDocument/2006/relationships/hyperlink" Target="https://nachi065.github.io/AI-Security-Wiki/23_Framework_Crosswalks/05_ISO_IEC_42001_Crosswalk.html" TargetMode="External"/><Relationship Id="rId389" Type="http://schemas.openxmlformats.org/officeDocument/2006/relationships/hyperlink" Target="https://nachi065.github.io/AI-Security-Wiki/23_Framework_Crosswalks/05_ISO_IEC_42001_Crosswalk.html" TargetMode="External"/><Relationship Id="rId390" Type="http://schemas.openxmlformats.org/officeDocument/2006/relationships/hyperlink" Target="https://nachi065.github.io/AI-Security-Wiki/23_Framework_Crosswalks/05_ISO_IEC_42001_Crosswalk.html" TargetMode="External"/><Relationship Id="rId391" Type="http://schemas.openxmlformats.org/officeDocument/2006/relationships/hyperlink" Target="https://nachi065.github.io/AI-Security-Wiki/23_Framework_Crosswalks/05_ISO_IEC_42001_Crosswalk.html" TargetMode="External"/><Relationship Id="rId392" Type="http://schemas.openxmlformats.org/officeDocument/2006/relationships/hyperlink" Target="https://nachi065.github.io/AI-Security-Wiki/23_Framework_Crosswalks/05_ISO_IEC_42001_Crosswalk.html" TargetMode="External"/><Relationship Id="rId393" Type="http://schemas.openxmlformats.org/officeDocument/2006/relationships/hyperlink" Target="https://nachi065.github.io/AI-Security-Wiki/23_Framework_Crosswalks/05_ISO_IEC_42001_Crosswalk.html" TargetMode="External"/><Relationship Id="rId394" Type="http://schemas.openxmlformats.org/officeDocument/2006/relationships/hyperlink" Target="https://nachi065.github.io/AI-Security-Wiki/23_Framework_Crosswalks/05_ISO_IEC_42001_Crosswalk.html" TargetMode="External"/><Relationship Id="rId395" Type="http://schemas.openxmlformats.org/officeDocument/2006/relationships/hyperlink" Target="https://nachi065.github.io/AI-Security-Wiki/23_Framework_Crosswalks/05_ISO_IEC_42001_Crosswalk.html" TargetMode="External"/><Relationship Id="rId396" Type="http://schemas.openxmlformats.org/officeDocument/2006/relationships/hyperlink" Target="https://nachi065.github.io/AI-Security-Wiki/23_Framework_Crosswalks/05_ISO_IEC_42001_Crosswalk.html" TargetMode="External"/><Relationship Id="rId397" Type="http://schemas.openxmlformats.org/officeDocument/2006/relationships/hyperlink" Target="https://nachi065.github.io/AI-Security-Wiki/23_Framework_Crosswalks/05_ISO_IEC_42001_Crosswalk.html" TargetMode="External"/><Relationship Id="rId398" Type="http://schemas.openxmlformats.org/officeDocument/2006/relationships/hyperlink" Target="https://nachi065.github.io/AI-Security-Wiki/23_Framework_Crosswalks/05_ISO_IEC_42001_Crosswalk.html" TargetMode="External"/><Relationship Id="rId399" Type="http://schemas.openxmlformats.org/officeDocument/2006/relationships/hyperlink" Target="https://nachi065.github.io/AI-Security-Wiki/23_Framework_Crosswalks/08_ISO_IEC_27001_Crosswalk.html" TargetMode="External"/><Relationship Id="rId400" Type="http://schemas.openxmlformats.org/officeDocument/2006/relationships/hyperlink" Target="https://nachi065.github.io/AI-Security-Wiki/23_Framework_Crosswalks/08_ISO_IEC_27001_Crosswalk.html" TargetMode="External"/><Relationship Id="rId401" Type="http://schemas.openxmlformats.org/officeDocument/2006/relationships/hyperlink" Target="https://nachi065.github.io/AI-Security-Wiki/23_Framework_Crosswalks/08_ISO_IEC_27001_Crosswalk.html" TargetMode="External"/><Relationship Id="rId402" Type="http://schemas.openxmlformats.org/officeDocument/2006/relationships/hyperlink" Target="https://nachi065.github.io/AI-Security-Wiki/23_Framework_Crosswalks/08_ISO_IEC_27001_Crosswalk.html" TargetMode="External"/><Relationship Id="rId403" Type="http://schemas.openxmlformats.org/officeDocument/2006/relationships/hyperlink" Target="https://nachi065.github.io/AI-Security-Wiki/23_Framework_Crosswalks/08_ISO_IEC_27001_Crosswalk.html" TargetMode="External"/><Relationship Id="rId404" Type="http://schemas.openxmlformats.org/officeDocument/2006/relationships/hyperlink" Target="https://nachi065.github.io/AI-Security-Wiki/23_Framework_Crosswalks/08_ISO_IEC_27001_Crosswalk.html" TargetMode="External"/><Relationship Id="rId405" Type="http://schemas.openxmlformats.org/officeDocument/2006/relationships/hyperlink" Target="https://nachi065.github.io/AI-Security-Wiki/23_Framework_Crosswalks/08_ISO_IEC_27001_Crosswalk.html" TargetMode="External"/><Relationship Id="rId406" Type="http://schemas.openxmlformats.org/officeDocument/2006/relationships/hyperlink" Target="https://nachi065.github.io/AI-Security-Wiki/23_Framework_Crosswalks/08_ISO_IEC_27001_Crosswalk.html" TargetMode="External"/><Relationship Id="rId407" Type="http://schemas.openxmlformats.org/officeDocument/2006/relationships/hyperlink" Target="https://nachi065.github.io/AI-Security-Wiki/23_Framework_Crosswalks/08_ISO_IEC_27001_Crosswalk.html" TargetMode="External"/><Relationship Id="rId408" Type="http://schemas.openxmlformats.org/officeDocument/2006/relationships/hyperlink" Target="https://nachi065.github.io/AI-Security-Wiki/23_Framework_Crosswalks/08_ISO_IEC_27001_Crosswalk.html" TargetMode="External"/><Relationship Id="rId409" Type="http://schemas.openxmlformats.org/officeDocument/2006/relationships/hyperlink" Target="https://nachi065.github.io/AI-Security-Wiki/23_Framework_Crosswalks/08_ISO_IEC_27001_Crosswalk.html" TargetMode="External"/><Relationship Id="rId410" Type="http://schemas.openxmlformats.org/officeDocument/2006/relationships/hyperlink" Target="https://nachi065.github.io/AI-Security-Wiki/23_Framework_Crosswalks/08_ISO_IEC_27001_Crosswalk.html" TargetMode="External"/><Relationship Id="rId411" Type="http://schemas.openxmlformats.org/officeDocument/2006/relationships/hyperlink" Target="https://nachi065.github.io/AI-Security-Wiki/23_Framework_Crosswalks/08_ISO_IEC_27001_Crosswalk.html" TargetMode="External"/><Relationship Id="rId412" Type="http://schemas.openxmlformats.org/officeDocument/2006/relationships/hyperlink" Target="https://nachi065.github.io/AI-Security-Wiki/23_Framework_Crosswalks/08_ISO_IEC_27001_Crosswalk.html" TargetMode="External"/><Relationship Id="rId413" Type="http://schemas.openxmlformats.org/officeDocument/2006/relationships/hyperlink" Target="https://nachi065.github.io/AI-Security-Wiki/23_Framework_Crosswalks/08_ISO_IEC_27001_Crosswalk.html" TargetMode="External"/><Relationship Id="rId414" Type="http://schemas.openxmlformats.org/officeDocument/2006/relationships/hyperlink" Target="https://nachi065.github.io/AI-Security-Wiki/23_Framework_Crosswalks/08_ISO_IEC_27001_Crosswalk.html" TargetMode="External"/><Relationship Id="rId415" Type="http://schemas.openxmlformats.org/officeDocument/2006/relationships/hyperlink" Target="https://nachi065.github.io/AI-Security-Wiki/23_Framework_Crosswalks/08_ISO_IEC_27001_Crosswalk.html" TargetMode="External"/><Relationship Id="rId416" Type="http://schemas.openxmlformats.org/officeDocument/2006/relationships/hyperlink" Target="https://nachi065.github.io/AI-Security-Wiki/23_Framework_Crosswalks/08_ISO_IEC_27001_Crosswalk.html" TargetMode="External"/><Relationship Id="rId417" Type="http://schemas.openxmlformats.org/officeDocument/2006/relationships/hyperlink" Target="https://nachi065.github.io/AI-Security-Wiki/23_Framework_Crosswalks/08_ISO_IEC_27001_Crosswalk.html" TargetMode="External"/><Relationship Id="rId418" Type="http://schemas.openxmlformats.org/officeDocument/2006/relationships/hyperlink" Target="https://nachi065.github.io/AI-Security-Wiki/23_Framework_Crosswalks/08_ISO_IEC_27001_Crosswalk.html" TargetMode="External"/><Relationship Id="rId419" Type="http://schemas.openxmlformats.org/officeDocument/2006/relationships/hyperlink" Target="https://nachi065.github.io/AI-Security-Wiki/23_Framework_Crosswalks/08_ISO_IEC_27001_Crosswalk.html" TargetMode="External"/><Relationship Id="rId420" Type="http://schemas.openxmlformats.org/officeDocument/2006/relationships/hyperlink" Target="https://nachi065.github.io/AI-Security-Wiki/23_Framework_Crosswalks/08_ISO_IEC_27001_Crosswalk.html" TargetMode="External"/><Relationship Id="rId421" Type="http://schemas.openxmlformats.org/officeDocument/2006/relationships/hyperlink" Target="https://nachi065.github.io/AI-Security-Wiki/23_Framework_Crosswalks/08_ISO_IEC_27001_Crosswalk.html" TargetMode="External"/><Relationship Id="rId422" Type="http://schemas.openxmlformats.org/officeDocument/2006/relationships/hyperlink" Target="https://nachi065.github.io/AI-Security-Wiki/23_Framework_Crosswalks/08_ISO_IEC_27001_Crosswalk.html" TargetMode="External"/><Relationship Id="rId423" Type="http://schemas.openxmlformats.org/officeDocument/2006/relationships/hyperlink" Target="https://nachi065.github.io/AI-Security-Wiki/23_Framework_Crosswalks/08_ISO_IEC_27001_Crosswalk.html" TargetMode="External"/><Relationship Id="rId424" Type="http://schemas.openxmlformats.org/officeDocument/2006/relationships/hyperlink" Target="https://nachi065.github.io/AI-Security-Wiki/23_Framework_Crosswalks/08_ISO_IEC_27001_Crosswalk.html" TargetMode="External"/><Relationship Id="rId425" Type="http://schemas.openxmlformats.org/officeDocument/2006/relationships/hyperlink" Target="https://nachi065.github.io/AI-Security-Wiki/23_Framework_Crosswalks/08_ISO_IEC_27001_Crosswalk.html" TargetMode="External"/><Relationship Id="rId426" Type="http://schemas.openxmlformats.org/officeDocument/2006/relationships/hyperlink" Target="https://nachi065.github.io/AI-Security-Wiki/23_Framework_Crosswalks/08_ISO_IEC_27001_Crosswalk.html" TargetMode="External"/><Relationship Id="rId427" Type="http://schemas.openxmlformats.org/officeDocument/2006/relationships/hyperlink" Target="https://nachi065.github.io/AI-Security-Wiki/23_Framework_Crosswalks/08_ISO_IEC_27001_Crosswalk.html" TargetMode="External"/><Relationship Id="rId428" Type="http://schemas.openxmlformats.org/officeDocument/2006/relationships/hyperlink" Target="https://nachi065.github.io/AI-Security-Wiki/23_Framework_Crosswalks/08_ISO_IEC_27001_Crosswalk.html" TargetMode="External"/><Relationship Id="rId429" Type="http://schemas.openxmlformats.org/officeDocument/2006/relationships/hyperlink" Target="https://nachi065.github.io/AI-Security-Wiki/23_Framework_Crosswalks/08_ISO_IEC_27001_Crosswalk.html" TargetMode="External"/><Relationship Id="rId430" Type="http://schemas.openxmlformats.org/officeDocument/2006/relationships/hyperlink" Target="https://nachi065.github.io/AI-Security-Wiki/23_Framework_Crosswalks/08_ISO_IEC_27001_Crosswalk.html" TargetMode="External"/><Relationship Id="rId431" Type="http://schemas.openxmlformats.org/officeDocument/2006/relationships/hyperlink" Target="https://nachi065.github.io/AI-Security-Wiki/23_Framework_Crosswalks/08_ISO_IEC_27001_Crosswalk.html" TargetMode="External"/><Relationship Id="rId432" Type="http://schemas.openxmlformats.org/officeDocument/2006/relationships/hyperlink" Target="https://nachi065.github.io/AI-Security-Wiki/23_Framework_Crosswalks/08_ISO_IEC_27001_Crosswalk.html" TargetMode="External"/><Relationship Id="rId433" Type="http://schemas.openxmlformats.org/officeDocument/2006/relationships/hyperlink" Target="https://nachi065.github.io/AI-Security-Wiki/23_Framework_Crosswalks/08_ISO_IEC_27001_Crosswalk.html" TargetMode="External"/><Relationship Id="rId434" Type="http://schemas.openxmlformats.org/officeDocument/2006/relationships/hyperlink" Target="https://nachi065.github.io/AI-Security-Wiki/23_Framework_Crosswalks/08_ISO_IEC_27001_Crosswalk.html" TargetMode="External"/><Relationship Id="rId435" Type="http://schemas.openxmlformats.org/officeDocument/2006/relationships/hyperlink" Target="https://nachi065.github.io/AI-Security-Wiki/23_Framework_Crosswalks/08_ISO_IEC_27001_Crosswalk.html" TargetMode="External"/><Relationship Id="rId436" Type="http://schemas.openxmlformats.org/officeDocument/2006/relationships/hyperlink" Target="https://nachi065.github.io/AI-Security-Wiki/23_Framework_Crosswalks/08_ISO_IEC_27001_Crosswalk.html" TargetMode="External"/><Relationship Id="rId437" Type="http://schemas.openxmlformats.org/officeDocument/2006/relationships/hyperlink" Target="https://nachi065.github.io/AI-Security-Wiki/23_Framework_Crosswalks/08_ISO_IEC_27001_Crosswalk.html" TargetMode="External"/><Relationship Id="rId438" Type="http://schemas.openxmlformats.org/officeDocument/2006/relationships/hyperlink" Target="https://nachi065.github.io/AI-Security-Wiki/23_Framework_Crosswalks/08_ISO_IEC_27001_Crosswalk.html" TargetMode="External"/><Relationship Id="rId439" Type="http://schemas.openxmlformats.org/officeDocument/2006/relationships/hyperlink" Target="https://nachi065.github.io/AI-Security-Wiki/23_Framework_Crosswalks/08_ISO_IEC_27001_Crosswalk.html" TargetMode="External"/><Relationship Id="rId440" Type="http://schemas.openxmlformats.org/officeDocument/2006/relationships/hyperlink" Target="https://nachi065.github.io/AI-Security-Wiki/23_Framework_Crosswalks/08_ISO_IEC_27001_Crosswalk.html" TargetMode="External"/><Relationship Id="rId441" Type="http://schemas.openxmlformats.org/officeDocument/2006/relationships/hyperlink" Target="https://nachi065.github.io/AI-Security-Wiki/23_Framework_Crosswalks/08_ISO_IEC_27001_Crosswalk.html" TargetMode="External"/><Relationship Id="rId442" Type="http://schemas.openxmlformats.org/officeDocument/2006/relationships/hyperlink" Target="https://nachi065.github.io/AI-Security-Wiki/23_Framework_Crosswalks/08_ISO_IEC_27001_Crosswalk.html" TargetMode="External"/><Relationship Id="rId443" Type="http://schemas.openxmlformats.org/officeDocument/2006/relationships/hyperlink" Target="https://nachi065.github.io/AI-Security-Wiki/23_Framework_Crosswalks/08_ISO_IEC_27001_Crosswalk.html" TargetMode="External"/><Relationship Id="rId444" Type="http://schemas.openxmlformats.org/officeDocument/2006/relationships/hyperlink" Target="https://nachi065.github.io/AI-Security-Wiki/23_Framework_Crosswalks/08_ISO_IEC_27001_Crosswalk.html" TargetMode="External"/><Relationship Id="rId445" Type="http://schemas.openxmlformats.org/officeDocument/2006/relationships/hyperlink" Target="https://nachi065.github.io/AI-Security-Wiki/23_Framework_Crosswalks/08_ISO_IEC_27001_Crosswalk.html" TargetMode="External"/><Relationship Id="rId446" Type="http://schemas.openxmlformats.org/officeDocument/2006/relationships/hyperlink" Target="https://nachi065.github.io/AI-Security-Wiki/23_Framework_Crosswalks/08_ISO_IEC_27001_Crosswalk.html" TargetMode="External"/><Relationship Id="rId447" Type="http://schemas.openxmlformats.org/officeDocument/2006/relationships/hyperlink" Target="https://nachi065.github.io/AI-Security-Wiki/23_Framework_Crosswalks/08_ISO_IEC_27001_Crosswalk.html" TargetMode="External"/><Relationship Id="rId448" Type="http://schemas.openxmlformats.org/officeDocument/2006/relationships/hyperlink" Target="https://nachi065.github.io/AI-Security-Wiki/23_Framework_Crosswalks/08_ISO_IEC_27001_Crosswalk.html" TargetMode="External"/><Relationship Id="rId449" Type="http://schemas.openxmlformats.org/officeDocument/2006/relationships/hyperlink" Target="https://nachi065.github.io/AI-Security-Wiki/23_Framework_Crosswalks/08_ISO_IEC_27001_Crosswalk.html" TargetMode="External"/><Relationship Id="rId450" Type="http://schemas.openxmlformats.org/officeDocument/2006/relationships/hyperlink" Target="https://nachi065.github.io/AI-Security-Wiki/23_Framework_Crosswalks/08_ISO_IEC_27001_Crosswalk.html" TargetMode="External"/><Relationship Id="rId451" Type="http://schemas.openxmlformats.org/officeDocument/2006/relationships/hyperlink" Target="https://nachi065.github.io/AI-Security-Wiki/23_Framework_Crosswalks/08_ISO_IEC_27001_Crosswalk.html" TargetMode="External"/><Relationship Id="rId452" Type="http://schemas.openxmlformats.org/officeDocument/2006/relationships/hyperlink" Target="https://nachi065.github.io/AI-Security-Wiki/23_Framework_Crosswalks/08_ISO_IEC_27001_Crosswalk.html" TargetMode="External"/><Relationship Id="rId453" Type="http://schemas.openxmlformats.org/officeDocument/2006/relationships/hyperlink" Target="https://nachi065.github.io/AI-Security-Wiki/23_Framework_Crosswalks/08_ISO_IEC_27001_Crosswalk.html" TargetMode="External"/><Relationship Id="rId454" Type="http://schemas.openxmlformats.org/officeDocument/2006/relationships/hyperlink" Target="https://nachi065.github.io/AI-Security-Wiki/23_Framework_Crosswalks/08_ISO_IEC_27001_Crosswalk.html" TargetMode="External"/><Relationship Id="rId455" Type="http://schemas.openxmlformats.org/officeDocument/2006/relationships/hyperlink" Target="https://nachi065.github.io/AI-Security-Wiki/23_Framework_Crosswalks/08_ISO_IEC_27001_Crosswalk.html" TargetMode="External"/><Relationship Id="rId456" Type="http://schemas.openxmlformats.org/officeDocument/2006/relationships/hyperlink" Target="https://nachi065.github.io/AI-Security-Wiki/23_Framework_Crosswalks/08_ISO_IEC_27001_Crosswalk.html" TargetMode="External"/><Relationship Id="rId457" Type="http://schemas.openxmlformats.org/officeDocument/2006/relationships/hyperlink" Target="https://nachi065.github.io/AI-Security-Wiki/23_Framework_Crosswalks/08_ISO_IEC_27001_Crosswalk.html" TargetMode="External"/><Relationship Id="rId458" Type="http://schemas.openxmlformats.org/officeDocument/2006/relationships/hyperlink" Target="https://nachi065.github.io/AI-Security-Wiki/23_Framework_Crosswalks/08_ISO_IEC_27001_Crosswalk.html" TargetMode="External"/><Relationship Id="rId459" Type="http://schemas.openxmlformats.org/officeDocument/2006/relationships/hyperlink" Target="https://nachi065.github.io/AI-Security-Wiki/23_Framework_Crosswalks/08_ISO_IEC_27001_Crosswalk.html" TargetMode="External"/><Relationship Id="rId460" Type="http://schemas.openxmlformats.org/officeDocument/2006/relationships/hyperlink" Target="https://nachi065.github.io/AI-Security-Wiki/23_Framework_Crosswalks/08_ISO_IEC_27001_Crosswalk.html" TargetMode="External"/><Relationship Id="rId461" Type="http://schemas.openxmlformats.org/officeDocument/2006/relationships/hyperlink" Target="https://nachi065.github.io/AI-Security-Wiki/23_Framework_Crosswalks/08_ISO_IEC_27001_Crosswalk.html" TargetMode="External"/><Relationship Id="rId462" Type="http://schemas.openxmlformats.org/officeDocument/2006/relationships/hyperlink" Target="https://nachi065.github.io/AI-Security-Wiki/23_Framework_Crosswalks/08_ISO_IEC_27001_Crosswalk.html" TargetMode="External"/><Relationship Id="rId463" Type="http://schemas.openxmlformats.org/officeDocument/2006/relationships/hyperlink" Target="https://nachi065.github.io/AI-Security-Wiki/23_Framework_Crosswalks/08_ISO_IEC_27001_Crosswalk.html" TargetMode="External"/><Relationship Id="rId464" Type="http://schemas.openxmlformats.org/officeDocument/2006/relationships/hyperlink" Target="https://nachi065.github.io/AI-Security-Wiki/23_Framework_Crosswalks/08_ISO_IEC_27001_Crosswalk.html" TargetMode="External"/><Relationship Id="rId465" Type="http://schemas.openxmlformats.org/officeDocument/2006/relationships/hyperlink" Target="https://nachi065.github.io/AI-Security-Wiki/23_Framework_Crosswalks/08_ISO_IEC_27001_Crosswalk.html" TargetMode="External"/><Relationship Id="rId466" Type="http://schemas.openxmlformats.org/officeDocument/2006/relationships/hyperlink" Target="https://nachi065.github.io/AI-Security-Wiki/23_Framework_Crosswalks/08_ISO_IEC_27001_Crosswalk.html" TargetMode="External"/><Relationship Id="rId467" Type="http://schemas.openxmlformats.org/officeDocument/2006/relationships/hyperlink" Target="https://nachi065.github.io/AI-Security-Wiki/23_Framework_Crosswalks/08_ISO_IEC_27001_Crosswalk.html" TargetMode="External"/><Relationship Id="rId468" Type="http://schemas.openxmlformats.org/officeDocument/2006/relationships/hyperlink" Target="https://nachi065.github.io/AI-Security-Wiki/23_Framework_Crosswalks/08_ISO_IEC_27001_Crosswalk.html" TargetMode="External"/><Relationship Id="rId469" Type="http://schemas.openxmlformats.org/officeDocument/2006/relationships/hyperlink" Target="https://nachi065.github.io/AI-Security-Wiki/23_Framework_Crosswalks/08_ISO_IEC_27001_Crosswalk.html" TargetMode="External"/><Relationship Id="rId470" Type="http://schemas.openxmlformats.org/officeDocument/2006/relationships/hyperlink" Target="https://nachi065.github.io/AI-Security-Wiki/23_Framework_Crosswalks/08_ISO_IEC_27001_Crosswalk.html" TargetMode="External"/><Relationship Id="rId471" Type="http://schemas.openxmlformats.org/officeDocument/2006/relationships/hyperlink" Target="https://nachi065.github.io/AI-Security-Wiki/23_Framework_Crosswalks/08_ISO_IEC_27001_Crosswalk.html" TargetMode="External"/><Relationship Id="rId472" Type="http://schemas.openxmlformats.org/officeDocument/2006/relationships/hyperlink" Target="https://nachi065.github.io/AI-Security-Wiki/23_Framework_Crosswalks/08_ISO_IEC_27001_Crosswalk.html" TargetMode="External"/><Relationship Id="rId473" Type="http://schemas.openxmlformats.org/officeDocument/2006/relationships/hyperlink" Target="https://nachi065.github.io/AI-Security-Wiki/23_Framework_Crosswalks/08_ISO_IEC_27001_Crosswalk.html" TargetMode="External"/><Relationship Id="rId474" Type="http://schemas.openxmlformats.org/officeDocument/2006/relationships/hyperlink" Target="https://nachi065.github.io/AI-Security-Wiki/23_Framework_Crosswalks/08_ISO_IEC_27001_Crosswalk.html" TargetMode="External"/><Relationship Id="rId475" Type="http://schemas.openxmlformats.org/officeDocument/2006/relationships/hyperlink" Target="https://nachi065.github.io/AI-Security-Wiki/23_Framework_Crosswalks/08_ISO_IEC_27001_Crosswalk.html" TargetMode="External"/><Relationship Id="rId476" Type="http://schemas.openxmlformats.org/officeDocument/2006/relationships/hyperlink" Target="https://nachi065.github.io/AI-Security-Wiki/23_Framework_Crosswalks/08_ISO_IEC_27001_Crosswalk.html" TargetMode="External"/><Relationship Id="rId477" Type="http://schemas.openxmlformats.org/officeDocument/2006/relationships/hyperlink" Target="https://nachi065.github.io/AI-Security-Wiki/23_Framework_Crosswalks/08_ISO_IEC_27001_Crosswalk.html" TargetMode="External"/><Relationship Id="rId478" Type="http://schemas.openxmlformats.org/officeDocument/2006/relationships/hyperlink" Target="https://nachi065.github.io/AI-Security-Wiki/23_Framework_Crosswalks/08_ISO_IEC_27001_Crosswalk.html" TargetMode="External"/><Relationship Id="rId479" Type="http://schemas.openxmlformats.org/officeDocument/2006/relationships/hyperlink" Target="https://nachi065.github.io/AI-Security-Wiki/23_Framework_Crosswalks/08_ISO_IEC_27001_Crosswalk.html" TargetMode="External"/><Relationship Id="rId480" Type="http://schemas.openxmlformats.org/officeDocument/2006/relationships/hyperlink" Target="https://nachi065.github.io/AI-Security-Wiki/23_Framework_Crosswalks/08_ISO_IEC_27001_Crosswalk.html" TargetMode="External"/><Relationship Id="rId481" Type="http://schemas.openxmlformats.org/officeDocument/2006/relationships/hyperlink" Target="https://nachi065.github.io/AI-Security-Wiki/23_Framework_Crosswalks/08_ISO_IEC_27001_Crosswalk.html" TargetMode="External"/><Relationship Id="rId482" Type="http://schemas.openxmlformats.org/officeDocument/2006/relationships/hyperlink" Target="https://nachi065.github.io/AI-Security-Wiki/23_Framework_Crosswalks/08_ISO_IEC_27001_Crosswalk.html" TargetMode="External"/><Relationship Id="rId483" Type="http://schemas.openxmlformats.org/officeDocument/2006/relationships/hyperlink" Target="https://nachi065.github.io/AI-Security-Wiki/23_Framework_Crosswalks/08_ISO_IEC_27001_Crosswalk.html" TargetMode="External"/><Relationship Id="rId484" Type="http://schemas.openxmlformats.org/officeDocument/2006/relationships/hyperlink" Target="https://nachi065.github.io/AI-Security-Wiki/23_Framework_Crosswalks/08_ISO_IEC_27001_Crosswalk.html" TargetMode="External"/><Relationship Id="rId485" Type="http://schemas.openxmlformats.org/officeDocument/2006/relationships/hyperlink" Target="https://nachi065.github.io/AI-Security-Wiki/23_Framework_Crosswalks/08_ISO_IEC_27001_Crosswalk.html" TargetMode="External"/><Relationship Id="rId486" Type="http://schemas.openxmlformats.org/officeDocument/2006/relationships/hyperlink" Target="https://nachi065.github.io/AI-Security-Wiki/23_Framework_Crosswalks/08_ISO_IEC_27001_Crosswalk.html" TargetMode="External"/><Relationship Id="rId487" Type="http://schemas.openxmlformats.org/officeDocument/2006/relationships/hyperlink" Target="https://nachi065.github.io/AI-Security-Wiki/23_Framework_Crosswalks/08_ISO_IEC_27001_Crosswalk.html" TargetMode="External"/><Relationship Id="rId488" Type="http://schemas.openxmlformats.org/officeDocument/2006/relationships/hyperlink" Target="https://nachi065.github.io/AI-Security-Wiki/23_Framework_Crosswalks/08_ISO_IEC_27001_Crosswalk.html" TargetMode="External"/><Relationship Id="rId489" Type="http://schemas.openxmlformats.org/officeDocument/2006/relationships/hyperlink" Target="https://nachi065.github.io/AI-Security-Wiki/23_Framework_Crosswalks/08_ISO_IEC_27001_Crosswalk.html" TargetMode="External"/><Relationship Id="rId490" Type="http://schemas.openxmlformats.org/officeDocument/2006/relationships/hyperlink" Target="https://nachi065.github.io/AI-Security-Wiki/23_Framework_Crosswalks/08_ISO_IEC_27001_Crosswalk.html" TargetMode="External"/><Relationship Id="rId491" Type="http://schemas.openxmlformats.org/officeDocument/2006/relationships/hyperlink" Target="https://nachi065.github.io/AI-Security-Wiki/23_Framework_Crosswalks/08_ISO_IEC_27001_Crosswalk.html" TargetMode="External"/><Relationship Id="rId492" Type="http://schemas.openxmlformats.org/officeDocument/2006/relationships/hyperlink" Target="https://nachi065.github.io/AI-Security-Wiki/23_Framework_Crosswalks/08_ISO_IEC_27001_Crosswalk.html" TargetMode="External"/><Relationship Id="rId493" Type="http://schemas.openxmlformats.org/officeDocument/2006/relationships/hyperlink" Target="https://nachi065.github.io/AI-Security-Wiki/23_Framework_Crosswalks/08_ISO_IEC_27001_Crosswalk.html" TargetMode="External"/><Relationship Id="rId494" Type="http://schemas.openxmlformats.org/officeDocument/2006/relationships/hyperlink" Target="https://nachi065.github.io/AI-Security-Wiki/23_Framework_Crosswalks/08_ISO_IEC_27001_Crosswalk.html" TargetMode="External"/><Relationship Id="rId495" Type="http://schemas.openxmlformats.org/officeDocument/2006/relationships/hyperlink" Target="https://nachi065.github.io/AI-Security-Wiki/23_Framework_Crosswalks/15_ISO_IEC_AI_Standards_Crosswalk.html" TargetMode="External"/><Relationship Id="rId496" Type="http://schemas.openxmlformats.org/officeDocument/2006/relationships/hyperlink" Target="https://nachi065.github.io/AI-Security-Wiki/23_Framework_Crosswalks/15_ISO_IEC_AI_Standards_Crosswalk.html" TargetMode="External"/><Relationship Id="rId497" Type="http://schemas.openxmlformats.org/officeDocument/2006/relationships/hyperlink" Target="https://nachi065.github.io/AI-Security-Wiki/23_Framework_Crosswalks/15_ISO_IEC_AI_Standards_Crosswalk.html" TargetMode="External"/><Relationship Id="rId498" Type="http://schemas.openxmlformats.org/officeDocument/2006/relationships/hyperlink" Target="https://nachi065.github.io/AI-Security-Wiki/23_Framework_Crosswalks/15_ISO_IEC_AI_Standards_Crosswalk.html" TargetMode="External"/><Relationship Id="rId499" Type="http://schemas.openxmlformats.org/officeDocument/2006/relationships/hyperlink" Target="https://nachi065.github.io/AI-Security-Wiki/23_Framework_Crosswalks/15_ISO_IEC_AI_Standards_Crosswalk.html" TargetMode="External"/><Relationship Id="rId500" Type="http://schemas.openxmlformats.org/officeDocument/2006/relationships/hyperlink" Target="https://nachi065.github.io/AI-Security-Wiki/23_Framework_Crosswalks/15_ISO_IEC_AI_Standards_Crosswalk.html" TargetMode="External"/><Relationship Id="rId501" Type="http://schemas.openxmlformats.org/officeDocument/2006/relationships/hyperlink" Target="https://nachi065.github.io/AI-Security-Wiki/23_Framework_Crosswalks/15_ISO_IEC_AI_Standards_Crosswalk.html" TargetMode="External"/><Relationship Id="rId502" Type="http://schemas.openxmlformats.org/officeDocument/2006/relationships/hyperlink" Target="https://nachi065.github.io/AI-Security-Wiki/23_Framework_Crosswalks/15_ISO_IEC_AI_Standards_Crosswalk.html" TargetMode="External"/><Relationship Id="rId503" Type="http://schemas.openxmlformats.org/officeDocument/2006/relationships/hyperlink" Target="https://nachi065.github.io/AI-Security-Wiki/23_Framework_Crosswalks/15_ISO_IEC_AI_Standards_Crosswalk.html" TargetMode="External"/><Relationship Id="rId504" Type="http://schemas.openxmlformats.org/officeDocument/2006/relationships/hyperlink" Target="https://nachi065.github.io/AI-Security-Wiki/23_Framework_Crosswalks/15_ISO_IEC_AI_Standards_Crosswalk.html" TargetMode="External"/><Relationship Id="rId505" Type="http://schemas.openxmlformats.org/officeDocument/2006/relationships/hyperlink" Target="https://nachi065.github.io/AI-Security-Wiki/23_Framework_Crosswalks/15_ISO_IEC_AI_Standards_Crosswalk.html" TargetMode="External"/><Relationship Id="rId506" Type="http://schemas.openxmlformats.org/officeDocument/2006/relationships/hyperlink" Target="https://nachi065.github.io/AI-Security-Wiki/23_Framework_Crosswalks/15_ISO_IEC_AI_Standards_Crosswalk.html" TargetMode="External"/><Relationship Id="rId507" Type="http://schemas.openxmlformats.org/officeDocument/2006/relationships/hyperlink" Target="https://nachi065.github.io/AI-Security-Wiki/23_Framework_Crosswalks/15_ISO_IEC_AI_Standards_Crosswalk.html" TargetMode="External"/><Relationship Id="rId508" Type="http://schemas.openxmlformats.org/officeDocument/2006/relationships/hyperlink" Target="https://nachi065.github.io/AI-Security-Wiki/23_Framework_Crosswalks/15_ISO_IEC_AI_Standards_Crosswalk.html" TargetMode="External"/><Relationship Id="rId509" Type="http://schemas.openxmlformats.org/officeDocument/2006/relationships/hyperlink" Target="https://nachi065.github.io/AI-Security-Wiki/23_Framework_Crosswalks/15_ISO_IEC_AI_Standards_Crosswalk.html" TargetMode="External"/><Relationship Id="rId510" Type="http://schemas.openxmlformats.org/officeDocument/2006/relationships/hyperlink" Target="https://nachi065.github.io/AI-Security-Wiki/23_Framework_Crosswalks/15_ISO_IEC_AI_Standards_Crosswalk.html" TargetMode="External"/><Relationship Id="rId511" Type="http://schemas.openxmlformats.org/officeDocument/2006/relationships/hyperlink" Target="https://nachi065.github.io/AI-Security-Wiki/23_Framework_Crosswalks/15_ISO_IEC_AI_Standards_Crosswalk.html" TargetMode="External"/><Relationship Id="rId512" Type="http://schemas.openxmlformats.org/officeDocument/2006/relationships/hyperlink" Target="https://nachi065.github.io/AI-Security-Wiki/23_Framework_Crosswalks/15_ISO_IEC_AI_Standards_Crosswalk.html" TargetMode="External"/><Relationship Id="rId513" Type="http://schemas.openxmlformats.org/officeDocument/2006/relationships/hyperlink" Target="https://nachi065.github.io/AI-Security-Wiki/23_Framework_Crosswalks/15_ISO_IEC_AI_Standards_Crosswalk.html" TargetMode="External"/><Relationship Id="rId514" Type="http://schemas.openxmlformats.org/officeDocument/2006/relationships/hyperlink" Target="https://nachi065.github.io/AI-Security-Wiki/23_Framework_Crosswalks/15_ISO_IEC_AI_Standards_Crosswalk.html" TargetMode="External"/><Relationship Id="rId515" Type="http://schemas.openxmlformats.org/officeDocument/2006/relationships/hyperlink" Target="https://nachi065.github.io/AI-Security-Wiki/23_Framework_Crosswalks/15_ISO_IEC_AI_Standards_Crosswalk.html" TargetMode="External"/><Relationship Id="rId516" Type="http://schemas.openxmlformats.org/officeDocument/2006/relationships/hyperlink" Target="https://nachi065.github.io/AI-Security-Wiki/23_Framework_Crosswalks/15_ISO_IEC_AI_Standards_Crosswalk.html" TargetMode="External"/><Relationship Id="rId517" Type="http://schemas.openxmlformats.org/officeDocument/2006/relationships/hyperlink" Target="https://nachi065.github.io/AI-Security-Wiki/23_Framework_Crosswalks/15_ISO_IEC_AI_Standards_Crosswalk.html" TargetMode="External"/><Relationship Id="rId518" Type="http://schemas.openxmlformats.org/officeDocument/2006/relationships/hyperlink" Target="https://nachi065.github.io/AI-Security-Wiki/23_Framework_Crosswalks/15_ISO_IEC_AI_Standards_Crosswalk.html" TargetMode="External"/><Relationship Id="rId519" Type="http://schemas.openxmlformats.org/officeDocument/2006/relationships/hyperlink" Target="https://nachi065.github.io/AI-Security-Wiki/23_Framework_Crosswalks/15_ISO_IEC_AI_Standards_Crosswalk.html" TargetMode="External"/><Relationship Id="rId520" Type="http://schemas.openxmlformats.org/officeDocument/2006/relationships/hyperlink" Target="https://nachi065.github.io/AI-Security-Wiki/23_Framework_Crosswalks/15_ISO_IEC_AI_Standards_Crosswalk.html" TargetMode="External"/><Relationship Id="rId521" Type="http://schemas.openxmlformats.org/officeDocument/2006/relationships/hyperlink" Target="https://nachi065.github.io/AI-Security-Wiki/23_Framework_Crosswalks/15_ISO_IEC_AI_Standards_Crosswalk.html" TargetMode="External"/><Relationship Id="rId522" Type="http://schemas.openxmlformats.org/officeDocument/2006/relationships/hyperlink" Target="https://nachi065.github.io/AI-Security-Wiki/23_Framework_Crosswalks/15_ISO_IEC_AI_Standards_Crosswalk.html" TargetMode="External"/><Relationship Id="rId523" Type="http://schemas.openxmlformats.org/officeDocument/2006/relationships/hyperlink" Target="https://nachi065.github.io/AI-Security-Wiki/23_Framework_Crosswalks/15_ISO_IEC_AI_Standards_Crosswalk.html" TargetMode="External"/><Relationship Id="rId524" Type="http://schemas.openxmlformats.org/officeDocument/2006/relationships/hyperlink" Target="https://nachi065.github.io/AI-Security-Wiki/23_Framework_Crosswalks/15_ISO_IEC_AI_Standards_Crosswalk.html" TargetMode="External"/><Relationship Id="rId525" Type="http://schemas.openxmlformats.org/officeDocument/2006/relationships/hyperlink" Target="https://nachi065.github.io/AI-Security-Wiki/23_Framework_Crosswalks/15_ISO_IEC_AI_Standards_Crosswalk.html" TargetMode="External"/><Relationship Id="rId526" Type="http://schemas.openxmlformats.org/officeDocument/2006/relationships/hyperlink" Target="https://nachi065.github.io/AI-Security-Wiki/23_Framework_Crosswalks/15_ISO_IEC_AI_Standards_Crosswalk.html" TargetMode="External"/><Relationship Id="rId527" Type="http://schemas.openxmlformats.org/officeDocument/2006/relationships/hyperlink" Target="https://nachi065.github.io/AI-Security-Wiki/23_Framework_Crosswalks/15_ISO_IEC_AI_Standards_Crosswalk.html" TargetMode="External"/><Relationship Id="rId528" Type="http://schemas.openxmlformats.org/officeDocument/2006/relationships/hyperlink" Target="https://nachi065.github.io/AI-Security-Wiki/23_Framework_Crosswalks/15_ISO_IEC_AI_Standards_Crosswalk.html" TargetMode="External"/><Relationship Id="rId529" Type="http://schemas.openxmlformats.org/officeDocument/2006/relationships/hyperlink" Target="https://nachi065.github.io/AI-Security-Wiki/23_Framework_Crosswalks/15_ISO_IEC_AI_Standards_Crosswalk.html" TargetMode="External"/><Relationship Id="rId530" Type="http://schemas.openxmlformats.org/officeDocument/2006/relationships/hyperlink" Target="https://nachi065.github.io/AI-Security-Wiki/23_Framework_Crosswalks/15_ISO_IEC_AI_Standards_Crosswalk.html" TargetMode="External"/><Relationship Id="rId531" Type="http://schemas.openxmlformats.org/officeDocument/2006/relationships/hyperlink" Target="https://nachi065.github.io/AI-Security-Wiki/23_Framework_Crosswalks/15_ISO_IEC_AI_Standards_Crosswalk.html" TargetMode="External"/><Relationship Id="rId532" Type="http://schemas.openxmlformats.org/officeDocument/2006/relationships/hyperlink" Target="https://nachi065.github.io/AI-Security-Wiki/23_Framework_Crosswalks/15_ISO_IEC_AI_Standards_Crosswalk.html" TargetMode="External"/><Relationship Id="rId533" Type="http://schemas.openxmlformats.org/officeDocument/2006/relationships/hyperlink" Target="https://nachi065.github.io/AI-Security-Wiki/23_Framework_Crosswalks/15_ISO_IEC_AI_Standards_Crosswalk.html" TargetMode="External"/><Relationship Id="rId534" Type="http://schemas.openxmlformats.org/officeDocument/2006/relationships/hyperlink" Target="https://nachi065.github.io/AI-Security-Wiki/23_Framework_Crosswalks/15_ISO_IEC_AI_Standards_Crosswalk.html" TargetMode="External"/><Relationship Id="rId535" Type="http://schemas.openxmlformats.org/officeDocument/2006/relationships/hyperlink" Target="https://nachi065.github.io/AI-Security-Wiki/23_Framework_Crosswalks/15_ISO_IEC_AI_Standards_Crosswalk.html" TargetMode="External"/><Relationship Id="rId536" Type="http://schemas.openxmlformats.org/officeDocument/2006/relationships/hyperlink" Target="https://nachi065.github.io/AI-Security-Wiki/23_Framework_Crosswalks/15_ISO_IEC_AI_Standards_Crosswalk.html" TargetMode="External"/><Relationship Id="rId537" Type="http://schemas.openxmlformats.org/officeDocument/2006/relationships/hyperlink" Target="https://nachi065.github.io/AI-Security-Wiki/23_Framework_Crosswalks/15_ISO_IEC_AI_Standards_Crosswalk.html" TargetMode="External"/><Relationship Id="rId538" Type="http://schemas.openxmlformats.org/officeDocument/2006/relationships/hyperlink" Target="https://nachi065.github.io/AI-Security-Wiki/23_Framework_Crosswalks/15_ISO_IEC_AI_Standards_Crosswalk.html" TargetMode="External"/><Relationship Id="rId539" Type="http://schemas.openxmlformats.org/officeDocument/2006/relationships/hyperlink" Target="https://nachi065.github.io/AI-Security-Wiki/23_Framework_Crosswalks/15_ISO_IEC_AI_Standards_Crosswalk.html" TargetMode="External"/><Relationship Id="rId540" Type="http://schemas.openxmlformats.org/officeDocument/2006/relationships/hyperlink" Target="https://nachi065.github.io/AI-Security-Wiki/23_Framework_Crosswalks/15_ISO_IEC_AI_Standards_Crosswalk.html" TargetMode="External"/><Relationship Id="rId541" Type="http://schemas.openxmlformats.org/officeDocument/2006/relationships/hyperlink" Target="https://nachi065.github.io/AI-Security-Wiki/23_Framework_Crosswalks/15_ISO_IEC_AI_Standards_Crosswalk.html" TargetMode="External"/><Relationship Id="rId542" Type="http://schemas.openxmlformats.org/officeDocument/2006/relationships/hyperlink" Target="https://nachi065.github.io/AI-Security-Wiki/23_Framework_Crosswalks/15_ISO_IEC_AI_Standards_Crosswalk.html" TargetMode="External"/><Relationship Id="rId543" Type="http://schemas.openxmlformats.org/officeDocument/2006/relationships/hyperlink" Target="https://nachi065.github.io/AI-Security-Wiki/23_Framework_Crosswalks/15_ISO_IEC_AI_Standards_Crosswalk.html" TargetMode="External"/><Relationship Id="rId544" Type="http://schemas.openxmlformats.org/officeDocument/2006/relationships/hyperlink" Target="https://nachi065.github.io/AI-Security-Wiki/23_Framework_Crosswalks/15_ISO_IEC_AI_Standards_Crosswalk.html" TargetMode="External"/><Relationship Id="rId545" Type="http://schemas.openxmlformats.org/officeDocument/2006/relationships/hyperlink" Target="https://nachi065.github.io/AI-Security-Wiki/23_Framework_Crosswalks/15_ISO_IEC_AI_Standards_Crosswalk.html" TargetMode="External"/><Relationship Id="rId546" Type="http://schemas.openxmlformats.org/officeDocument/2006/relationships/hyperlink" Target="https://nachi065.github.io/AI-Security-Wiki/23_Framework_Crosswalks/15_ISO_IEC_AI_Standards_Crosswalk.html" TargetMode="External"/><Relationship Id="rId547" Type="http://schemas.openxmlformats.org/officeDocument/2006/relationships/hyperlink" Target="https://nachi065.github.io/AI-Security-Wiki/23_Framework_Crosswalks/15_ISO_IEC_AI_Standards_Crosswalk.html" TargetMode="External"/><Relationship Id="rId548" Type="http://schemas.openxmlformats.org/officeDocument/2006/relationships/hyperlink" Target="https://nachi065.github.io/AI-Security-Wiki/23_Framework_Crosswalks/15_ISO_IEC_AI_Standards_Crosswalk.html" TargetMode="External"/><Relationship Id="rId549" Type="http://schemas.openxmlformats.org/officeDocument/2006/relationships/hyperlink" Target="https://nachi065.github.io/AI-Security-Wiki/23_Framework_Crosswalks/15_ISO_IEC_AI_Standards_Crosswalk.html" TargetMode="External"/><Relationship Id="rId550" Type="http://schemas.openxmlformats.org/officeDocument/2006/relationships/hyperlink" Target="https://nachi065.github.io/AI-Security-Wiki/23_Framework_Crosswalks/09_NIST_CSF_Crosswalk.html" TargetMode="External"/><Relationship Id="rId551" Type="http://schemas.openxmlformats.org/officeDocument/2006/relationships/hyperlink" Target="https://nachi065.github.io/AI-Security-Wiki/23_Framework_Crosswalks/09_NIST_CSF_Crosswalk.html" TargetMode="External"/><Relationship Id="rId552" Type="http://schemas.openxmlformats.org/officeDocument/2006/relationships/hyperlink" Target="https://nachi065.github.io/AI-Security-Wiki/23_Framework_Crosswalks/09_NIST_CSF_Crosswalk.html" TargetMode="External"/><Relationship Id="rId553" Type="http://schemas.openxmlformats.org/officeDocument/2006/relationships/hyperlink" Target="https://nachi065.github.io/AI-Security-Wiki/23_Framework_Crosswalks/09_NIST_CSF_Crosswalk.html" TargetMode="External"/><Relationship Id="rId554" Type="http://schemas.openxmlformats.org/officeDocument/2006/relationships/hyperlink" Target="https://nachi065.github.io/AI-Security-Wiki/23_Framework_Crosswalks/09_NIST_CSF_Crosswalk.html" TargetMode="External"/><Relationship Id="rId555" Type="http://schemas.openxmlformats.org/officeDocument/2006/relationships/hyperlink" Target="https://nachi065.github.io/AI-Security-Wiki/23_Framework_Crosswalks/09_NIST_CSF_Crosswalk.html" TargetMode="External"/><Relationship Id="rId556" Type="http://schemas.openxmlformats.org/officeDocument/2006/relationships/hyperlink" Target="https://nachi065.github.io/AI-Security-Wiki/23_Framework_Crosswalks/09_NIST_CSF_Crosswalk.html" TargetMode="External"/><Relationship Id="rId557" Type="http://schemas.openxmlformats.org/officeDocument/2006/relationships/hyperlink" Target="https://nachi065.github.io/AI-Security-Wiki/23_Framework_Crosswalks/09_NIST_CSF_Crosswalk.html" TargetMode="External"/><Relationship Id="rId558" Type="http://schemas.openxmlformats.org/officeDocument/2006/relationships/hyperlink" Target="https://nachi065.github.io/AI-Security-Wiki/23_Framework_Crosswalks/09_NIST_CSF_Crosswalk.html" TargetMode="External"/><Relationship Id="rId559" Type="http://schemas.openxmlformats.org/officeDocument/2006/relationships/hyperlink" Target="https://nachi065.github.io/AI-Security-Wiki/23_Framework_Crosswalks/09_NIST_CSF_Crosswalk.html" TargetMode="External"/><Relationship Id="rId560" Type="http://schemas.openxmlformats.org/officeDocument/2006/relationships/hyperlink" Target="https://nachi065.github.io/AI-Security-Wiki/23_Framework_Crosswalks/09_NIST_CSF_Crosswalk.html" TargetMode="External"/><Relationship Id="rId561" Type="http://schemas.openxmlformats.org/officeDocument/2006/relationships/hyperlink" Target="https://nachi065.github.io/AI-Security-Wiki/23_Framework_Crosswalks/09_NIST_CSF_Crosswalk.html" TargetMode="External"/><Relationship Id="rId562" Type="http://schemas.openxmlformats.org/officeDocument/2006/relationships/hyperlink" Target="https://nachi065.github.io/AI-Security-Wiki/23_Framework_Crosswalks/09_NIST_CSF_Crosswalk.html" TargetMode="External"/><Relationship Id="rId563" Type="http://schemas.openxmlformats.org/officeDocument/2006/relationships/hyperlink" Target="https://nachi065.github.io/AI-Security-Wiki/23_Framework_Crosswalks/09_NIST_CSF_Crosswalk.html" TargetMode="External"/><Relationship Id="rId564" Type="http://schemas.openxmlformats.org/officeDocument/2006/relationships/hyperlink" Target="https://nachi065.github.io/AI-Security-Wiki/23_Framework_Crosswalks/09_NIST_CSF_Crosswalk.html" TargetMode="External"/><Relationship Id="rId565" Type="http://schemas.openxmlformats.org/officeDocument/2006/relationships/hyperlink" Target="https://nachi065.github.io/AI-Security-Wiki/23_Framework_Crosswalks/09_NIST_CSF_Crosswalk.html" TargetMode="External"/><Relationship Id="rId566" Type="http://schemas.openxmlformats.org/officeDocument/2006/relationships/hyperlink" Target="https://nachi065.github.io/AI-Security-Wiki/23_Framework_Crosswalks/09_NIST_CSF_Crosswalk.html" TargetMode="External"/><Relationship Id="rId567" Type="http://schemas.openxmlformats.org/officeDocument/2006/relationships/hyperlink" Target="https://nachi065.github.io/AI-Security-Wiki/23_Framework_Crosswalks/09_NIST_CSF_Crosswalk.html" TargetMode="External"/><Relationship Id="rId568" Type="http://schemas.openxmlformats.org/officeDocument/2006/relationships/hyperlink" Target="https://nachi065.github.io/AI-Security-Wiki/23_Framework_Crosswalks/09_NIST_CSF_Crosswalk.html" TargetMode="External"/><Relationship Id="rId569" Type="http://schemas.openxmlformats.org/officeDocument/2006/relationships/hyperlink" Target="https://nachi065.github.io/AI-Security-Wiki/23_Framework_Crosswalks/09_NIST_CSF_Crosswalk.html" TargetMode="External"/><Relationship Id="rId570" Type="http://schemas.openxmlformats.org/officeDocument/2006/relationships/hyperlink" Target="https://nachi065.github.io/AI-Security-Wiki/23_Framework_Crosswalks/09_NIST_CSF_Crosswalk.html" TargetMode="External"/><Relationship Id="rId571" Type="http://schemas.openxmlformats.org/officeDocument/2006/relationships/hyperlink" Target="https://nachi065.github.io/AI-Security-Wiki/23_Framework_Crosswalks/09_NIST_CSF_Crosswalk.html" TargetMode="External"/><Relationship Id="rId572" Type="http://schemas.openxmlformats.org/officeDocument/2006/relationships/hyperlink" Target="https://nachi065.github.io/AI-Security-Wiki/23_Framework_Crosswalks/10_CIS_Controls_Crosswalk.html" TargetMode="External"/><Relationship Id="rId573" Type="http://schemas.openxmlformats.org/officeDocument/2006/relationships/hyperlink" Target="https://nachi065.github.io/AI-Security-Wiki/23_Framework_Crosswalks/10_CIS_Controls_Crosswalk.html" TargetMode="External"/><Relationship Id="rId574" Type="http://schemas.openxmlformats.org/officeDocument/2006/relationships/hyperlink" Target="https://nachi065.github.io/AI-Security-Wiki/23_Framework_Crosswalks/10_CIS_Controls_Crosswalk.html" TargetMode="External"/><Relationship Id="rId575" Type="http://schemas.openxmlformats.org/officeDocument/2006/relationships/hyperlink" Target="https://nachi065.github.io/AI-Security-Wiki/23_Framework_Crosswalks/10_CIS_Controls_Crosswalk.html" TargetMode="External"/><Relationship Id="rId576" Type="http://schemas.openxmlformats.org/officeDocument/2006/relationships/hyperlink" Target="https://nachi065.github.io/AI-Security-Wiki/23_Framework_Crosswalks/10_CIS_Controls_Crosswalk.html" TargetMode="External"/><Relationship Id="rId577" Type="http://schemas.openxmlformats.org/officeDocument/2006/relationships/hyperlink" Target="https://nachi065.github.io/AI-Security-Wiki/23_Framework_Crosswalks/10_CIS_Controls_Crosswalk.html" TargetMode="External"/><Relationship Id="rId578" Type="http://schemas.openxmlformats.org/officeDocument/2006/relationships/hyperlink" Target="https://nachi065.github.io/AI-Security-Wiki/23_Framework_Crosswalks/10_CIS_Controls_Crosswalk.html" TargetMode="External"/><Relationship Id="rId579" Type="http://schemas.openxmlformats.org/officeDocument/2006/relationships/hyperlink" Target="https://nachi065.github.io/AI-Security-Wiki/23_Framework_Crosswalks/10_CIS_Controls_Crosswalk.html" TargetMode="External"/><Relationship Id="rId580" Type="http://schemas.openxmlformats.org/officeDocument/2006/relationships/hyperlink" Target="https://nachi065.github.io/AI-Security-Wiki/23_Framework_Crosswalks/10_CIS_Controls_Crosswalk.html" TargetMode="External"/><Relationship Id="rId581" Type="http://schemas.openxmlformats.org/officeDocument/2006/relationships/hyperlink" Target="https://nachi065.github.io/AI-Security-Wiki/23_Framework_Crosswalks/10_CIS_Controls_Crosswalk.html" TargetMode="External"/><Relationship Id="rId582" Type="http://schemas.openxmlformats.org/officeDocument/2006/relationships/hyperlink" Target="https://nachi065.github.io/AI-Security-Wiki/23_Framework_Crosswalks/10_CIS_Controls_Crosswalk.html" TargetMode="External"/><Relationship Id="rId583" Type="http://schemas.openxmlformats.org/officeDocument/2006/relationships/hyperlink" Target="https://nachi065.github.io/AI-Security-Wiki/23_Framework_Crosswalks/10_CIS_Controls_Crosswalk.html" TargetMode="External"/><Relationship Id="rId584" Type="http://schemas.openxmlformats.org/officeDocument/2006/relationships/hyperlink" Target="https://nachi065.github.io/AI-Security-Wiki/23_Framework_Crosswalks/10_CIS_Controls_Crosswalk.html" TargetMode="External"/><Relationship Id="rId585" Type="http://schemas.openxmlformats.org/officeDocument/2006/relationships/hyperlink" Target="https://nachi065.github.io/AI-Security-Wiki/23_Framework_Crosswalks/10_CIS_Controls_Crosswalk.html" TargetMode="External"/><Relationship Id="rId586" Type="http://schemas.openxmlformats.org/officeDocument/2006/relationships/hyperlink" Target="https://nachi065.github.io/AI-Security-Wiki/23_Framework_Crosswalks/10_CIS_Controls_Crosswalk.html" TargetMode="External"/><Relationship Id="rId587" Type="http://schemas.openxmlformats.org/officeDocument/2006/relationships/hyperlink" Target="https://nachi065.github.io/AI-Security-Wiki/23_Framework_Crosswalks/10_CIS_Controls_Crosswalk.html" TargetMode="External"/><Relationship Id="rId588" Type="http://schemas.openxmlformats.org/officeDocument/2006/relationships/hyperlink" Target="https://nachi065.github.io/AI-Security-Wiki/23_Framework_Crosswalks/10_CIS_Controls_Crosswalk.html" TargetMode="External"/><Relationship Id="rId589" Type="http://schemas.openxmlformats.org/officeDocument/2006/relationships/hyperlink" Target="https://nachi065.github.io/AI-Security-Wiki/23_Framework_Crosswalks/10_CIS_Controls_Crosswalk.html" TargetMode="External"/><Relationship Id="rId590" Type="http://schemas.openxmlformats.org/officeDocument/2006/relationships/hyperlink" Target="https://nachi065.github.io/AI-Security-Wiki/23_Framework_Crosswalks/11_SOC_2_Crosswalk.html" TargetMode="External"/><Relationship Id="rId591" Type="http://schemas.openxmlformats.org/officeDocument/2006/relationships/hyperlink" Target="https://nachi065.github.io/AI-Security-Wiki/23_Framework_Crosswalks/11_SOC_2_Crosswalk.html" TargetMode="External"/><Relationship Id="rId592" Type="http://schemas.openxmlformats.org/officeDocument/2006/relationships/hyperlink" Target="https://nachi065.github.io/AI-Security-Wiki/23_Framework_Crosswalks/11_SOC_2_Crosswalk.html" TargetMode="External"/><Relationship Id="rId593" Type="http://schemas.openxmlformats.org/officeDocument/2006/relationships/hyperlink" Target="https://nachi065.github.io/AI-Security-Wiki/23_Framework_Crosswalks/11_SOC_2_Crosswalk.html" TargetMode="External"/><Relationship Id="rId594" Type="http://schemas.openxmlformats.org/officeDocument/2006/relationships/hyperlink" Target="https://nachi065.github.io/AI-Security-Wiki/23_Framework_Crosswalks/11_SOC_2_Crosswalk.html" TargetMode="External"/><Relationship Id="rId595" Type="http://schemas.openxmlformats.org/officeDocument/2006/relationships/hyperlink" Target="https://nachi065.github.io/AI-Security-Wiki/23_Framework_Crosswalks/11_SOC_2_Crosswalk.html" TargetMode="External"/><Relationship Id="rId596" Type="http://schemas.openxmlformats.org/officeDocument/2006/relationships/hyperlink" Target="https://nachi065.github.io/AI-Security-Wiki/23_Framework_Crosswalks/11_SOC_2_Crosswalk.html" TargetMode="External"/><Relationship Id="rId597" Type="http://schemas.openxmlformats.org/officeDocument/2006/relationships/hyperlink" Target="https://nachi065.github.io/AI-Security-Wiki/23_Framework_Crosswalks/11_SOC_2_Crosswalk.html" TargetMode="External"/><Relationship Id="rId598" Type="http://schemas.openxmlformats.org/officeDocument/2006/relationships/hyperlink" Target="https://nachi065.github.io/AI-Security-Wiki/23_Framework_Crosswalks/11_SOC_2_Crosswalk.html" TargetMode="External"/><Relationship Id="rId599" Type="http://schemas.openxmlformats.org/officeDocument/2006/relationships/hyperlink" Target="https://nachi065.github.io/AI-Security-Wiki/23_Framework_Crosswalks/11_SOC_2_Crosswalk.html" TargetMode="External"/><Relationship Id="rId600" Type="http://schemas.openxmlformats.org/officeDocument/2006/relationships/hyperlink" Target="https://nachi065.github.io/AI-Security-Wiki/23_Framework_Crosswalks/11_SOC_2_Crosswalk.html" TargetMode="External"/><Relationship Id="rId601" Type="http://schemas.openxmlformats.org/officeDocument/2006/relationships/hyperlink" Target="https://nachi065.github.io/AI-Security-Wiki/23_Framework_Crosswalks/11_SOC_2_Crosswalk.html" TargetMode="External"/><Relationship Id="rId602" Type="http://schemas.openxmlformats.org/officeDocument/2006/relationships/hyperlink" Target="https://nachi065.github.io/AI-Security-Wiki/23_Framework_Crosswalks/11_SOC_2_Crosswalk.html" TargetMode="External"/><Relationship Id="rId603" Type="http://schemas.openxmlformats.org/officeDocument/2006/relationships/hyperlink" Target="https://nachi065.github.io/AI-Security-Wiki/23_Framework_Crosswalks/11_SOC_2_Crosswalk.html" TargetMode="External"/><Relationship Id="rId604" Type="http://schemas.openxmlformats.org/officeDocument/2006/relationships/hyperlink" Target="https://nachi065.github.io/AI-Security-Wiki/23_Framework_Crosswalks/11_SOC_2_Crosswalk.html" TargetMode="External"/><Relationship Id="rId605" Type="http://schemas.openxmlformats.org/officeDocument/2006/relationships/hyperlink" Target="https://nachi065.github.io/AI-Security-Wiki/23_Framework_Crosswalks/11_SOC_2_Crosswalk.html" TargetMode="External"/><Relationship Id="rId606" Type="http://schemas.openxmlformats.org/officeDocument/2006/relationships/hyperlink" Target="https://nachi065.github.io/AI-Security-Wiki/23_Framework_Crosswalks/11_SOC_2_Crosswalk.html" TargetMode="External"/><Relationship Id="rId607" Type="http://schemas.openxmlformats.org/officeDocument/2006/relationships/hyperlink" Target="https://nachi065.github.io/AI-Security-Wiki/23_Framework_Crosswalks/11_SOC_2_Crosswalk.html" TargetMode="External"/><Relationship Id="rId608" Type="http://schemas.openxmlformats.org/officeDocument/2006/relationships/hyperlink" Target="https://nachi065.github.io/AI-Security-Wiki/23_Framework_Crosswalks/11_SOC_2_Crosswalk.html" TargetMode="External"/><Relationship Id="rId609" Type="http://schemas.openxmlformats.org/officeDocument/2006/relationships/hyperlink" Target="https://nachi065.github.io/AI-Security-Wiki/23_Framework_Crosswalks/11_SOC_2_Crosswalk.html" TargetMode="External"/><Relationship Id="rId610" Type="http://schemas.openxmlformats.org/officeDocument/2006/relationships/hyperlink" Target="https://nachi065.github.io/AI-Security-Wiki/23_Framework_Crosswalks/11_SOC_2_Crosswalk.html" TargetMode="External"/><Relationship Id="rId611" Type="http://schemas.openxmlformats.org/officeDocument/2006/relationships/hyperlink" Target="https://nachi065.github.io/AI-Security-Wiki/23_Framework_Crosswalks/11_SOC_2_Crosswalk.html" TargetMode="External"/><Relationship Id="rId612" Type="http://schemas.openxmlformats.org/officeDocument/2006/relationships/hyperlink" Target="https://nachi065.github.io/AI-Security-Wiki/23_Framework_Crosswalks/11_SOC_2_Crosswalk.html" TargetMode="External"/><Relationship Id="rId613" Type="http://schemas.openxmlformats.org/officeDocument/2006/relationships/hyperlink" Target="https://nachi065.github.io/AI-Security-Wiki/23_Framework_Crosswalks/11_SOC_2_Crosswalk.html" TargetMode="External"/><Relationship Id="rId614" Type="http://schemas.openxmlformats.org/officeDocument/2006/relationships/hyperlink" Target="https://nachi065.github.io/AI-Security-Wiki/23_Framework_Crosswalks/11_SOC_2_Crosswalk.html" TargetMode="External"/><Relationship Id="rId615" Type="http://schemas.openxmlformats.org/officeDocument/2006/relationships/hyperlink" Target="https://nachi065.github.io/AI-Security-Wiki/23_Framework_Crosswalks/11_SOC_2_Crosswalk.html" TargetMode="External"/><Relationship Id="rId616" Type="http://schemas.openxmlformats.org/officeDocument/2006/relationships/hyperlink" Target="https://nachi065.github.io/AI-Security-Wiki/23_Framework_Crosswalks/11_SOC_2_Crosswalk.html" TargetMode="External"/><Relationship Id="rId617" Type="http://schemas.openxmlformats.org/officeDocument/2006/relationships/hyperlink" Target="https://nachi065.github.io/AI-Security-Wiki/23_Framework_Crosswalks/11_SOC_2_Crosswalk.html" TargetMode="External"/><Relationship Id="rId618" Type="http://schemas.openxmlformats.org/officeDocument/2006/relationships/hyperlink" Target="https://nachi065.github.io/AI-Security-Wiki/23_Framework_Crosswalks/11_SOC_2_Crosswalk.html" TargetMode="External"/><Relationship Id="rId619" Type="http://schemas.openxmlformats.org/officeDocument/2006/relationships/hyperlink" Target="https://nachi065.github.io/AI-Security-Wiki/23_Framework_Crosswalks/11_SOC_2_Crosswalk.html" TargetMode="External"/><Relationship Id="rId620" Type="http://schemas.openxmlformats.org/officeDocument/2006/relationships/hyperlink" Target="https://nachi065.github.io/AI-Security-Wiki/23_Framework_Crosswalks/11_SOC_2_Crosswalk.html" TargetMode="External"/><Relationship Id="rId621" Type="http://schemas.openxmlformats.org/officeDocument/2006/relationships/hyperlink" Target="https://nachi065.github.io/AI-Security-Wiki/23_Framework_Crosswalks/11_SOC_2_Crosswalk.html" TargetMode="External"/><Relationship Id="rId622" Type="http://schemas.openxmlformats.org/officeDocument/2006/relationships/hyperlink" Target="https://nachi065.github.io/AI-Security-Wiki/23_Framework_Crosswalks/11_SOC_2_Crosswalk.html" TargetMode="External"/><Relationship Id="rId623" Type="http://schemas.openxmlformats.org/officeDocument/2006/relationships/hyperlink" Target="https://nachi065.github.io/AI-Security-Wiki/23_Framework_Crosswalks/11_SOC_2_Crosswalk.html" TargetMode="External"/><Relationship Id="rId624" Type="http://schemas.openxmlformats.org/officeDocument/2006/relationships/hyperlink" Target="https://nachi065.github.io/AI-Security-Wiki/23_Framework_Crosswalks/11_SOC_2_Crosswalk.html" TargetMode="External"/><Relationship Id="rId625" Type="http://schemas.openxmlformats.org/officeDocument/2006/relationships/hyperlink" Target="https://nachi065.github.io/AI-Security-Wiki/23_Framework_Crosswalks/11_SOC_2_Crosswalk.html" TargetMode="External"/><Relationship Id="rId626" Type="http://schemas.openxmlformats.org/officeDocument/2006/relationships/hyperlink" Target="https://nachi065.github.io/AI-Security-Wiki/23_Framework_Crosswalks/11_SOC_2_Crosswalk.html" TargetMode="External"/><Relationship Id="rId627" Type="http://schemas.openxmlformats.org/officeDocument/2006/relationships/hyperlink" Target="https://nachi065.github.io/AI-Security-Wiki/23_Framework_Crosswalks/11_SOC_2_Crosswalk.html" TargetMode="External"/><Relationship Id="rId628" Type="http://schemas.openxmlformats.org/officeDocument/2006/relationships/hyperlink" Target="https://nachi065.github.io/AI-Security-Wiki/23_Framework_Crosswalks/11_SOC_2_Crosswalk.html" TargetMode="External"/><Relationship Id="rId629" Type="http://schemas.openxmlformats.org/officeDocument/2006/relationships/hyperlink" Target="https://nachi065.github.io/AI-Security-Wiki/23_Framework_Crosswalks/11_SOC_2_Crosswalk.html" TargetMode="External"/><Relationship Id="rId630" Type="http://schemas.openxmlformats.org/officeDocument/2006/relationships/hyperlink" Target="https://nachi065.github.io/AI-Security-Wiki/23_Framework_Crosswalks/11_SOC_2_Crosswalk.html" TargetMode="External"/><Relationship Id="rId631" Type="http://schemas.openxmlformats.org/officeDocument/2006/relationships/hyperlink" Target="https://nachi065.github.io/AI-Security-Wiki/23_Framework_Crosswalks/11_SOC_2_Crosswalk.html" TargetMode="External"/><Relationship Id="rId632" Type="http://schemas.openxmlformats.org/officeDocument/2006/relationships/hyperlink" Target="https://nachi065.github.io/AI-Security-Wiki/23_Framework_Crosswalks/11_SOC_2_Crosswalk.html" TargetMode="External"/><Relationship Id="rId633" Type="http://schemas.openxmlformats.org/officeDocument/2006/relationships/hyperlink" Target="https://nachi065.github.io/AI-Security-Wiki/23_Framework_Crosswalks/11_SOC_2_Crosswalk.html" TargetMode="External"/><Relationship Id="rId634" Type="http://schemas.openxmlformats.org/officeDocument/2006/relationships/hyperlink" Target="https://nachi065.github.io/AI-Security-Wiki/23_Framework_Crosswalks/11_SOC_2_Crosswalk.html" TargetMode="External"/><Relationship Id="rId635" Type="http://schemas.openxmlformats.org/officeDocument/2006/relationships/hyperlink" Target="https://nachi065.github.io/AI-Security-Wiki/23_Framework_Crosswalks/11_SOC_2_Crosswalk.html" TargetMode="External"/><Relationship Id="rId636" Type="http://schemas.openxmlformats.org/officeDocument/2006/relationships/hyperlink" Target="https://nachi065.github.io/AI-Security-Wiki/23_Framework_Crosswalks/11_SOC_2_Crosswalk.html" TargetMode="External"/><Relationship Id="rId637" Type="http://schemas.openxmlformats.org/officeDocument/2006/relationships/hyperlink" Target="https://nachi065.github.io/AI-Security-Wiki/23_Framework_Crosswalks/11_SOC_2_Crosswalk.html" TargetMode="External"/><Relationship Id="rId638" Type="http://schemas.openxmlformats.org/officeDocument/2006/relationships/hyperlink" Target="https://nachi065.github.io/AI-Security-Wiki/23_Framework_Crosswalks/11_SOC_2_Crosswalk.html" TargetMode="External"/><Relationship Id="rId639" Type="http://schemas.openxmlformats.org/officeDocument/2006/relationships/hyperlink" Target="https://nachi065.github.io/AI-Security-Wiki/23_Framework_Crosswalks/11_SOC_2_Crosswalk.html" TargetMode="External"/><Relationship Id="rId640" Type="http://schemas.openxmlformats.org/officeDocument/2006/relationships/hyperlink" Target="https://nachi065.github.io/AI-Security-Wiki/23_Framework_Crosswalks/11_SOC_2_Crosswalk.html" TargetMode="External"/><Relationship Id="rId641" Type="http://schemas.openxmlformats.org/officeDocument/2006/relationships/hyperlink" Target="https://nachi065.github.io/AI-Security-Wiki/23_Framework_Crosswalks/11_SOC_2_Crosswalk.html" TargetMode="External"/><Relationship Id="rId642" Type="http://schemas.openxmlformats.org/officeDocument/2006/relationships/hyperlink" Target="https://nachi065.github.io/AI-Security-Wiki/23_Framework_Crosswalks/11_SOC_2_Crosswalk.html" TargetMode="External"/><Relationship Id="rId643" Type="http://schemas.openxmlformats.org/officeDocument/2006/relationships/hyperlink" Target="https://nachi065.github.io/AI-Security-Wiki/23_Framework_Crosswalks/11_SOC_2_Crosswalk.html" TargetMode="External"/><Relationship Id="rId644" Type="http://schemas.openxmlformats.org/officeDocument/2006/relationships/hyperlink" Target="https://nachi065.github.io/AI-Security-Wiki/23_Framework_Crosswalks/11_SOC_2_Crosswalk.html" TargetMode="External"/><Relationship Id="rId645" Type="http://schemas.openxmlformats.org/officeDocument/2006/relationships/hyperlink" Target="https://nachi065.github.io/AI-Security-Wiki/23_Framework_Crosswalks/11_SOC_2_Crosswalk.html" TargetMode="External"/><Relationship Id="rId646" Type="http://schemas.openxmlformats.org/officeDocument/2006/relationships/hyperlink" Target="https://nachi065.github.io/AI-Security-Wiki/23_Framework_Crosswalks/11_SOC_2_Crosswalk.html" TargetMode="External"/><Relationship Id="rId647" Type="http://schemas.openxmlformats.org/officeDocument/2006/relationships/hyperlink" Target="https://nachi065.github.io/AI-Security-Wiki/23_Framework_Crosswalks/11_SOC_2_Crosswalk.html" TargetMode="External"/><Relationship Id="rId648" Type="http://schemas.openxmlformats.org/officeDocument/2006/relationships/hyperlink" Target="https://nachi065.github.io/AI-Security-Wiki/23_Framework_Crosswalks/11_SOC_2_Crosswalk.html" TargetMode="External"/><Relationship Id="rId649" Type="http://schemas.openxmlformats.org/officeDocument/2006/relationships/hyperlink" Target="https://nachi065.github.io/AI-Security-Wiki/23_Framework_Crosswalks/11_SOC_2_Crosswalk.html" TargetMode="External"/><Relationship Id="rId650" Type="http://schemas.openxmlformats.org/officeDocument/2006/relationships/hyperlink" Target="https://nachi065.github.io/AI-Security-Wiki/23_Framework_Crosswalks/11_SOC_2_Crosswalk.html" TargetMode="External"/><Relationship Id="rId651" Type="http://schemas.openxmlformats.org/officeDocument/2006/relationships/hyperlink" Target="https://nachi065.github.io/AI-Security-Wiki/23_Framework_Crosswalks/20_NIST_SSDF_Crosswalk.html" TargetMode="External"/><Relationship Id="rId652" Type="http://schemas.openxmlformats.org/officeDocument/2006/relationships/hyperlink" Target="https://nachi065.github.io/AI-Security-Wiki/23_Framework_Crosswalks/20_NIST_SSDF_Crosswalk.html" TargetMode="External"/><Relationship Id="rId653" Type="http://schemas.openxmlformats.org/officeDocument/2006/relationships/hyperlink" Target="https://nachi065.github.io/AI-Security-Wiki/23_Framework_Crosswalks/20_NIST_SSDF_Crosswalk.html" TargetMode="External"/><Relationship Id="rId654" Type="http://schemas.openxmlformats.org/officeDocument/2006/relationships/hyperlink" Target="https://nachi065.github.io/AI-Security-Wiki/23_Framework_Crosswalks/20_NIST_SSDF_Crosswalk.html" TargetMode="External"/><Relationship Id="rId655" Type="http://schemas.openxmlformats.org/officeDocument/2006/relationships/hyperlink" Target="https://nachi065.github.io/AI-Security-Wiki/23_Framework_Crosswalks/20_NIST_SSDF_Crosswalk.html" TargetMode="External"/><Relationship Id="rId656" Type="http://schemas.openxmlformats.org/officeDocument/2006/relationships/hyperlink" Target="https://nachi065.github.io/AI-Security-Wiki/23_Framework_Crosswalks/20_NIST_SSDF_Crosswalk.html" TargetMode="External"/><Relationship Id="rId657" Type="http://schemas.openxmlformats.org/officeDocument/2006/relationships/hyperlink" Target="https://nachi065.github.io/AI-Security-Wiki/23_Framework_Crosswalks/20_NIST_SSDF_Crosswalk.html" TargetMode="External"/><Relationship Id="rId658" Type="http://schemas.openxmlformats.org/officeDocument/2006/relationships/hyperlink" Target="https://nachi065.github.io/AI-Security-Wiki/23_Framework_Crosswalks/20_NIST_SSDF_Crosswalk.html" TargetMode="External"/><Relationship Id="rId659" Type="http://schemas.openxmlformats.org/officeDocument/2006/relationships/hyperlink" Target="https://nachi065.github.io/AI-Security-Wiki/23_Framework_Crosswalks/20_NIST_SSDF_Crosswalk.html" TargetMode="External"/><Relationship Id="rId660" Type="http://schemas.openxmlformats.org/officeDocument/2006/relationships/hyperlink" Target="https://nachi065.github.io/AI-Security-Wiki/23_Framework_Crosswalks/20_NIST_SSDF_Crosswalk.html" TargetMode="External"/><Relationship Id="rId661" Type="http://schemas.openxmlformats.org/officeDocument/2006/relationships/hyperlink" Target="https://nachi065.github.io/AI-Security-Wiki/23_Framework_Crosswalks/20_NIST_SSDF_Crosswalk.html" TargetMode="External"/><Relationship Id="rId662" Type="http://schemas.openxmlformats.org/officeDocument/2006/relationships/hyperlink" Target="https://nachi065.github.io/AI-Security-Wiki/23_Framework_Crosswalks/20_NIST_SSDF_Crosswalk.html" TargetMode="External"/><Relationship Id="rId663" Type="http://schemas.openxmlformats.org/officeDocument/2006/relationships/hyperlink" Target="https://nachi065.github.io/AI-Security-Wiki/23_Framework_Crosswalks/20_NIST_SSDF_Crosswalk.html" TargetMode="External"/><Relationship Id="rId664" Type="http://schemas.openxmlformats.org/officeDocument/2006/relationships/hyperlink" Target="https://nachi065.github.io/AI-Security-Wiki/23_Framework_Crosswalks/20_NIST_SSDF_Crosswalk.html" TargetMode="External"/><Relationship Id="rId665" Type="http://schemas.openxmlformats.org/officeDocument/2006/relationships/hyperlink" Target="https://nachi065.github.io/AI-Security-Wiki/23_Framework_Crosswalks/20_NIST_SSDF_Crosswalk.html" TargetMode="External"/><Relationship Id="rId666" Type="http://schemas.openxmlformats.org/officeDocument/2006/relationships/hyperlink" Target="https://nachi065.github.io/AI-Security-Wiki/23_Framework_Crosswalks/20_NIST_SSDF_Crosswalk.html" TargetMode="External"/><Relationship Id="rId667" Type="http://schemas.openxmlformats.org/officeDocument/2006/relationships/hyperlink" Target="https://nachi065.github.io/AI-Security-Wiki/23_Framework_Crosswalks/20_NIST_SSDF_Crosswalk.html" TargetMode="External"/><Relationship Id="rId668" Type="http://schemas.openxmlformats.org/officeDocument/2006/relationships/hyperlink" Target="https://nachi065.github.io/AI-Security-Wiki/23_Framework_Crosswalks/20_NIST_SSDF_Crosswalk.html" TargetMode="External"/><Relationship Id="rId669" Type="http://schemas.openxmlformats.org/officeDocument/2006/relationships/hyperlink" Target="https://nachi065.github.io/AI-Security-Wiki/23_Framework_Crosswalks/20_NIST_SSDF_Crosswalk.html" TargetMode="External"/><Relationship Id="rId670" Type="http://schemas.openxmlformats.org/officeDocument/2006/relationships/hyperlink" Target="https://nachi065.github.io/AI-Security-Wiki/23_Framework_Crosswalks/20_NIST_SSDF_Crosswalk.html" TargetMode="External"/><Relationship Id="rId671" Type="http://schemas.openxmlformats.org/officeDocument/2006/relationships/hyperlink" Target="https://nachi065.github.io/AI-Security-Wiki/23_Framework_Crosswalks/21_PCI_DSS_AI_Crosswalk.html" TargetMode="External"/><Relationship Id="rId672" Type="http://schemas.openxmlformats.org/officeDocument/2006/relationships/hyperlink" Target="https://nachi065.github.io/AI-Security-Wiki/23_Framework_Crosswalks/21_PCI_DSS_AI_Crosswalk.html" TargetMode="External"/><Relationship Id="rId673" Type="http://schemas.openxmlformats.org/officeDocument/2006/relationships/hyperlink" Target="https://nachi065.github.io/AI-Security-Wiki/23_Framework_Crosswalks/21_PCI_DSS_AI_Crosswalk.html" TargetMode="External"/><Relationship Id="rId674" Type="http://schemas.openxmlformats.org/officeDocument/2006/relationships/hyperlink" Target="https://nachi065.github.io/AI-Security-Wiki/23_Framework_Crosswalks/21_PCI_DSS_AI_Crosswalk.html" TargetMode="External"/><Relationship Id="rId675" Type="http://schemas.openxmlformats.org/officeDocument/2006/relationships/hyperlink" Target="https://nachi065.github.io/AI-Security-Wiki/23_Framework_Crosswalks/21_PCI_DSS_AI_Crosswalk.html" TargetMode="External"/><Relationship Id="rId676" Type="http://schemas.openxmlformats.org/officeDocument/2006/relationships/hyperlink" Target="https://nachi065.github.io/AI-Security-Wiki/23_Framework_Crosswalks/21_PCI_DSS_AI_Crosswalk.html" TargetMode="External"/><Relationship Id="rId677" Type="http://schemas.openxmlformats.org/officeDocument/2006/relationships/hyperlink" Target="https://nachi065.github.io/AI-Security-Wiki/23_Framework_Crosswalks/21_PCI_DSS_AI_Crosswalk.html" TargetMode="External"/><Relationship Id="rId678" Type="http://schemas.openxmlformats.org/officeDocument/2006/relationships/hyperlink" Target="https://nachi065.github.io/AI-Security-Wiki/23_Framework_Crosswalks/21_PCI_DSS_AI_Crosswalk.html" TargetMode="External"/><Relationship Id="rId679" Type="http://schemas.openxmlformats.org/officeDocument/2006/relationships/hyperlink" Target="https://nachi065.github.io/AI-Security-Wiki/23_Framework_Crosswalks/21_PCI_DSS_AI_Crosswalk.html" TargetMode="External"/><Relationship Id="rId680" Type="http://schemas.openxmlformats.org/officeDocument/2006/relationships/hyperlink" Target="https://nachi065.github.io/AI-Security-Wiki/23_Framework_Crosswalks/21_PCI_DSS_AI_Crosswalk.html" TargetMode="External"/><Relationship Id="rId681" Type="http://schemas.openxmlformats.org/officeDocument/2006/relationships/hyperlink" Target="https://nachi065.github.io/AI-Security-Wiki/23_Framework_Crosswalks/21_PCI_DSS_AI_Crosswalk.html" TargetMode="External"/><Relationship Id="rId682" Type="http://schemas.openxmlformats.org/officeDocument/2006/relationships/hyperlink" Target="https://nachi065.github.io/AI-Security-Wiki/23_Framework_Crosswalks/21_PCI_DSS_AI_Crosswalk.html" TargetMode="External"/><Relationship Id="rId683" Type="http://schemas.openxmlformats.org/officeDocument/2006/relationships/hyperlink" Target="https://nachi065.github.io/AI-Security-Wiki/23_Framework_Crosswalks/21_PCI_DSS_AI_Crosswalk.html" TargetMode="External"/><Relationship Id="rId684" Type="http://schemas.openxmlformats.org/officeDocument/2006/relationships/hyperlink" Target="https://nachi065.github.io/AI-Security-Wiki/23_Framework_Crosswalks/21_PCI_DSS_AI_Crosswalk.html" TargetMode="External"/><Relationship Id="rId685" Type="http://schemas.openxmlformats.org/officeDocument/2006/relationships/hyperlink" Target="https://nachi065.github.io/AI-Security-Wiki/23_Framework_Crosswalks/21_PCI_DSS_AI_Crosswalk.html" TargetMode="External"/><Relationship Id="rId686" Type="http://schemas.openxmlformats.org/officeDocument/2006/relationships/hyperlink" Target="https://nachi065.github.io/AI-Security-Wiki/23_Framework_Crosswalks/21_PCI_DSS_AI_Crosswalk.html" TargetMode="External"/><Relationship Id="rId687" Type="http://schemas.openxmlformats.org/officeDocument/2006/relationships/hyperlink" Target="https://nachi065.github.io/AI-Security-Wiki/23_Framework_Crosswalks/21_PCI_DSS_AI_Crosswalk.html" TargetMode="External"/><Relationship Id="rId688" Type="http://schemas.openxmlformats.org/officeDocument/2006/relationships/hyperlink" Target="https://nachi065.github.io/AI-Security-Wiki/23_Framework_Crosswalks/21_PCI_DSS_AI_Crosswalk.html" TargetMode="External"/><Relationship Id="rId689" Type="http://schemas.openxmlformats.org/officeDocument/2006/relationships/hyperlink" Target="https://nachi065.github.io/AI-Security-Wiki/23_Framework_Crosswalks/21_PCI_DSS_AI_Crosswalk.html" TargetMode="External"/><Relationship Id="rId690" Type="http://schemas.openxmlformats.org/officeDocument/2006/relationships/hyperlink" Target="https://nachi065.github.io/AI-Security-Wiki/23_Framework_Crosswalks/21_PCI_DSS_AI_Crosswalk.html" TargetMode="External"/><Relationship Id="rId691" Type="http://schemas.openxmlformats.org/officeDocument/2006/relationships/hyperlink" Target="https://nachi065.github.io/AI-Security-Wiki/23_Framework_Crosswalks/21_PCI_DSS_AI_Crosswalk.html" TargetMode="External"/><Relationship Id="rId692" Type="http://schemas.openxmlformats.org/officeDocument/2006/relationships/hyperlink" Target="https://nachi065.github.io/AI-Security-Wiki/23_Framework_Crosswalks/21_PCI_DSS_AI_Crosswalk.html" TargetMode="External"/><Relationship Id="rId693" Type="http://schemas.openxmlformats.org/officeDocument/2006/relationships/hyperlink" Target="https://nachi065.github.io/AI-Security-Wiki/23_Framework_Crosswalks/21_PCI_DSS_AI_Crosswalk.html" TargetMode="External"/><Relationship Id="rId694" Type="http://schemas.openxmlformats.org/officeDocument/2006/relationships/hyperlink" Target="https://nachi065.github.io/AI-Security-Wiki/23_Framework_Crosswalks/21_PCI_DSS_AI_Crosswalk.html" TargetMode="External"/><Relationship Id="rId695" Type="http://schemas.openxmlformats.org/officeDocument/2006/relationships/hyperlink" Target="https://nachi065.github.io/AI-Security-Wiki/23_Framework_Crosswalks/21_PCI_DSS_AI_Crosswalk.html" TargetMode="External"/><Relationship Id="rId696" Type="http://schemas.openxmlformats.org/officeDocument/2006/relationships/hyperlink" Target="https://nachi065.github.io/AI-Security-Wiki/23_Framework_Crosswalks/21_PCI_DSS_AI_Crosswalk.html" TargetMode="External"/><Relationship Id="rId697" Type="http://schemas.openxmlformats.org/officeDocument/2006/relationships/hyperlink" Target="https://nachi065.github.io/AI-Security-Wiki/23_Framework_Crosswalks/21_PCI_DSS_AI_Crosswalk.html" TargetMode="External"/><Relationship Id="rId698" Type="http://schemas.openxmlformats.org/officeDocument/2006/relationships/hyperlink" Target="https://nachi065.github.io/AI-Security-Wiki/23_Framework_Crosswalks/21_PCI_DSS_AI_Crosswalk.html" TargetMode="External"/><Relationship Id="rId699" Type="http://schemas.openxmlformats.org/officeDocument/2006/relationships/hyperlink" Target="https://nachi065.github.io/AI-Security-Wiki/23_Framework_Crosswalks/21_PCI_DSS_AI_Crosswalk.html" TargetMode="External"/><Relationship Id="rId700" Type="http://schemas.openxmlformats.org/officeDocument/2006/relationships/hyperlink" Target="https://nachi065.github.io/AI-Security-Wiki/23_Framework_Crosswalks/21_PCI_DSS_AI_Crosswalk.html" TargetMode="External"/><Relationship Id="rId701" Type="http://schemas.openxmlformats.org/officeDocument/2006/relationships/hyperlink" Target="https://nachi065.github.io/AI-Security-Wiki/23_Framework_Crosswalks/21_PCI_DSS_AI_Crosswalk.html" TargetMode="External"/><Relationship Id="rId702" Type="http://schemas.openxmlformats.org/officeDocument/2006/relationships/hyperlink" Target="https://nachi065.github.io/AI-Security-Wiki/23_Framework_Crosswalks/21_PCI_DSS_AI_Crosswalk.html" TargetMode="External"/><Relationship Id="rId703" Type="http://schemas.openxmlformats.org/officeDocument/2006/relationships/hyperlink" Target="https://nachi065.github.io/AI-Security-Wiki/23_Framework_Crosswalks/21_PCI_DSS_AI_Crosswalk.html" TargetMode="External"/><Relationship Id="rId704" Type="http://schemas.openxmlformats.org/officeDocument/2006/relationships/hyperlink" Target="https://nachi065.github.io/AI-Security-Wiki/23_Framework_Crosswalks/21_PCI_DSS_AI_Crosswalk.html" TargetMode="External"/><Relationship Id="rId705" Type="http://schemas.openxmlformats.org/officeDocument/2006/relationships/hyperlink" Target="https://nachi065.github.io/AI-Security-Wiki/23_Framework_Crosswalks/21_PCI_DSS_AI_Crosswalk.html" TargetMode="External"/><Relationship Id="rId706" Type="http://schemas.openxmlformats.org/officeDocument/2006/relationships/hyperlink" Target="https://nachi065.github.io/AI-Security-Wiki/23_Framework_Crosswalks/21_PCI_DSS_AI_Crosswalk.html" TargetMode="External"/><Relationship Id="rId707" Type="http://schemas.openxmlformats.org/officeDocument/2006/relationships/hyperlink" Target="https://nachi065.github.io/AI-Security-Wiki/23_Framework_Crosswalks/21_PCI_DSS_AI_Crosswalk.html" TargetMode="External"/><Relationship Id="rId708" Type="http://schemas.openxmlformats.org/officeDocument/2006/relationships/hyperlink" Target="https://nachi065.github.io/AI-Security-Wiki/23_Framework_Crosswalks/21_PCI_DSS_AI_Crosswalk.html" TargetMode="External"/><Relationship Id="rId709" Type="http://schemas.openxmlformats.org/officeDocument/2006/relationships/hyperlink" Target="https://nachi065.github.io/AI-Security-Wiki/23_Framework_Crosswalks/21_PCI_DSS_AI_Crosswalk.html" TargetMode="External"/><Relationship Id="rId710" Type="http://schemas.openxmlformats.org/officeDocument/2006/relationships/hyperlink" Target="https://nachi065.github.io/AI-Security-Wiki/23_Framework_Crosswalks/21_PCI_DSS_AI_Crosswalk.html" TargetMode="External"/><Relationship Id="rId711" Type="http://schemas.openxmlformats.org/officeDocument/2006/relationships/hyperlink" Target="https://nachi065.github.io/AI-Security-Wiki/23_Framework_Crosswalks/21_PCI_DSS_AI_Crosswalk.html" TargetMode="External"/><Relationship Id="rId712" Type="http://schemas.openxmlformats.org/officeDocument/2006/relationships/hyperlink" Target="https://nachi065.github.io/AI-Security-Wiki/23_Framework_Crosswalks/21_PCI_DSS_AI_Crosswalk.html" TargetMode="External"/><Relationship Id="rId713" Type="http://schemas.openxmlformats.org/officeDocument/2006/relationships/hyperlink" Target="https://nachi065.github.io/AI-Security-Wiki/23_Framework_Crosswalks/21_PCI_DSS_AI_Crosswalk.html" TargetMode="External"/><Relationship Id="rId714" Type="http://schemas.openxmlformats.org/officeDocument/2006/relationships/hyperlink" Target="https://nachi065.github.io/AI-Security-Wiki/23_Framework_Crosswalks/12_OECD_AI_Principles_Crosswalk.html" TargetMode="External"/><Relationship Id="rId715" Type="http://schemas.openxmlformats.org/officeDocument/2006/relationships/hyperlink" Target="https://nachi065.github.io/AI-Security-Wiki/23_Framework_Crosswalks/12_OECD_AI_Principles_Crosswalk.html" TargetMode="External"/><Relationship Id="rId716" Type="http://schemas.openxmlformats.org/officeDocument/2006/relationships/hyperlink" Target="https://nachi065.github.io/AI-Security-Wiki/23_Framework_Crosswalks/12_OECD_AI_Principles_Crosswalk.html" TargetMode="External"/><Relationship Id="rId717" Type="http://schemas.openxmlformats.org/officeDocument/2006/relationships/hyperlink" Target="https://nachi065.github.io/AI-Security-Wiki/23_Framework_Crosswalks/12_OECD_AI_Principles_Crosswalk.html" TargetMode="External"/><Relationship Id="rId718" Type="http://schemas.openxmlformats.org/officeDocument/2006/relationships/hyperlink" Target="https://nachi065.github.io/AI-Security-Wiki/23_Framework_Crosswalks/12_OECD_AI_Principles_Crosswalk.html" TargetMode="External"/><Relationship Id="rId719" Type="http://schemas.openxmlformats.org/officeDocument/2006/relationships/hyperlink" Target="https://nachi065.github.io/AI-Security-Wiki/23_Framework_Crosswalks/16_Trustworthy_AI_Ethics_Crosswalk.html" TargetMode="External"/><Relationship Id="rId720" Type="http://schemas.openxmlformats.org/officeDocument/2006/relationships/hyperlink" Target="https://nachi065.github.io/AI-Security-Wiki/23_Framework_Crosswalks/16_Trustworthy_AI_Ethics_Crosswalk.html" TargetMode="External"/><Relationship Id="rId721" Type="http://schemas.openxmlformats.org/officeDocument/2006/relationships/hyperlink" Target="https://nachi065.github.io/AI-Security-Wiki/23_Framework_Crosswalks/16_Trustworthy_AI_Ethics_Crosswalk.html" TargetMode="External"/><Relationship Id="rId722" Type="http://schemas.openxmlformats.org/officeDocument/2006/relationships/hyperlink" Target="https://nachi065.github.io/AI-Security-Wiki/23_Framework_Crosswalks/16_Trustworthy_AI_Ethics_Crosswalk.html" TargetMode="External"/><Relationship Id="rId723" Type="http://schemas.openxmlformats.org/officeDocument/2006/relationships/hyperlink" Target="https://nachi065.github.io/AI-Security-Wiki/23_Framework_Crosswalks/16_Trustworthy_AI_Ethics_Crosswalk.html" TargetMode="External"/><Relationship Id="rId724" Type="http://schemas.openxmlformats.org/officeDocument/2006/relationships/hyperlink" Target="https://nachi065.github.io/AI-Security-Wiki/23_Framework_Crosswalks/16_Trustworthy_AI_Ethics_Crosswalk.html" TargetMode="External"/><Relationship Id="rId725" Type="http://schemas.openxmlformats.org/officeDocument/2006/relationships/hyperlink" Target="https://nachi065.github.io/AI-Security-Wiki/23_Framework_Crosswalks/16_Trustworthy_AI_Ethics_Crosswalk.html" TargetMode="External"/><Relationship Id="rId726" Type="http://schemas.openxmlformats.org/officeDocument/2006/relationships/hyperlink" Target="https://nachi065.github.io/AI-Security-Wiki/23_Framework_Crosswalks/16_Trustworthy_AI_Ethics_Crosswalk.html" TargetMode="External"/><Relationship Id="rId727" Type="http://schemas.openxmlformats.org/officeDocument/2006/relationships/hyperlink" Target="https://nachi065.github.io/AI-Security-Wiki/23_Framework_Crosswalks/16_Trustworthy_AI_Ethics_Crosswalk.html" TargetMode="External"/><Relationship Id="rId728" Type="http://schemas.openxmlformats.org/officeDocument/2006/relationships/hyperlink" Target="https://nachi065.github.io/AI-Security-Wiki/23_Framework_Crosswalks/16_Trustworthy_AI_Ethics_Crosswalk.html" TargetMode="External"/><Relationship Id="rId729" Type="http://schemas.openxmlformats.org/officeDocument/2006/relationships/hyperlink" Target="https://nachi065.github.io/AI-Security-Wiki/23_Framework_Crosswalks/16_Trustworthy_AI_Ethics_Crosswalk.html" TargetMode="External"/><Relationship Id="rId730" Type="http://schemas.openxmlformats.org/officeDocument/2006/relationships/hyperlink" Target="https://nachi065.github.io/AI-Security-Wiki/23_Framework_Crosswalks/16_Trustworthy_AI_Ethics_Crosswalk.html" TargetMode="External"/><Relationship Id="rId731" Type="http://schemas.openxmlformats.org/officeDocument/2006/relationships/hyperlink" Target="https://nachi065.github.io/AI-Security-Wiki/23_Framework_Crosswalks/16_Trustworthy_AI_Ethics_Crosswalk.html" TargetMode="External"/><Relationship Id="rId732" Type="http://schemas.openxmlformats.org/officeDocument/2006/relationships/hyperlink" Target="https://nachi065.github.io/AI-Security-Wiki/23_Framework_Crosswalks/16_Trustworthy_AI_Ethics_Crosswalk.html" TargetMode="External"/><Relationship Id="rId733" Type="http://schemas.openxmlformats.org/officeDocument/2006/relationships/hyperlink" Target="https://nachi065.github.io/AI-Security-Wiki/23_Framework_Crosswalks/16_Trustworthy_AI_Ethics_Crosswalk.html" TargetMode="External"/><Relationship Id="rId734" Type="http://schemas.openxmlformats.org/officeDocument/2006/relationships/hyperlink" Target="https://nachi065.github.io/AI-Security-Wiki/23_Framework_Crosswalks/16_Trustworthy_AI_Ethics_Crosswalk.html" TargetMode="External"/><Relationship Id="rId735" Type="http://schemas.openxmlformats.org/officeDocument/2006/relationships/hyperlink" Target="https://nachi065.github.io/AI-Security-Wiki/23_Framework_Crosswalks/16_Trustworthy_AI_Ethics_Crosswalk.html" TargetMode="External"/><Relationship Id="rId736" Type="http://schemas.openxmlformats.org/officeDocument/2006/relationships/hyperlink" Target="https://nachi065.github.io/AI-Security-Wiki/23_Framework_Crosswalks/16_Trustworthy_AI_Ethics_Crosswalk.html" TargetMode="External"/><Relationship Id="rId737" Type="http://schemas.openxmlformats.org/officeDocument/2006/relationships/hyperlink" Target="https://nachi065.github.io/AI-Security-Wiki/23_Framework_Crosswalks/16_Trustworthy_AI_Ethics_Crosswalk.html" TargetMode="External"/><Relationship Id="rId738" Type="http://schemas.openxmlformats.org/officeDocument/2006/relationships/hyperlink" Target="https://nachi065.github.io/AI-Security-Wiki/23_Framework_Crosswalks/16_Trustworthy_AI_Ethics_Crosswalk.html" TargetMode="External"/><Relationship Id="rId739" Type="http://schemas.openxmlformats.org/officeDocument/2006/relationships/hyperlink" Target="https://nachi065.github.io/AI-Security-Wiki/23_Framework_Crosswalks/16_Trustworthy_AI_Ethics_Crosswalk.html" TargetMode="External"/><Relationship Id="rId740" Type="http://schemas.openxmlformats.org/officeDocument/2006/relationships/hyperlink" Target="https://nachi065.github.io/AI-Security-Wiki/23_Framework_Crosswalks/16_Trustworthy_AI_Ethics_Crosswalk.html" TargetMode="External"/><Relationship Id="rId741" Type="http://schemas.openxmlformats.org/officeDocument/2006/relationships/hyperlink" Target="https://nachi065.github.io/AI-Security-Wiki/23_Framework_Crosswalks/17_International_AI_Instruments_Crosswalk.html" TargetMode="External"/><Relationship Id="rId742" Type="http://schemas.openxmlformats.org/officeDocument/2006/relationships/hyperlink" Target="https://nachi065.github.io/AI-Security-Wiki/23_Framework_Crosswalks/17_International_AI_Instruments_Crosswalk.html" TargetMode="External"/><Relationship Id="rId743" Type="http://schemas.openxmlformats.org/officeDocument/2006/relationships/hyperlink" Target="https://nachi065.github.io/AI-Security-Wiki/23_Framework_Crosswalks/17_International_AI_Instruments_Crosswalk.html" TargetMode="External"/><Relationship Id="rId744" Type="http://schemas.openxmlformats.org/officeDocument/2006/relationships/hyperlink" Target="https://nachi065.github.io/AI-Security-Wiki/23_Framework_Crosswalks/17_International_AI_Instruments_Crosswalk.html" TargetMode="External"/><Relationship Id="rId745" Type="http://schemas.openxmlformats.org/officeDocument/2006/relationships/hyperlink" Target="https://nachi065.github.io/AI-Security-Wiki/23_Framework_Crosswalks/17_International_AI_Instruments_Crosswalk.html" TargetMode="External"/><Relationship Id="rId746" Type="http://schemas.openxmlformats.org/officeDocument/2006/relationships/hyperlink" Target="https://nachi065.github.io/AI-Security-Wiki/23_Framework_Crosswalks/17_International_AI_Instruments_Crosswalk.html" TargetMode="External"/><Relationship Id="rId747" Type="http://schemas.openxmlformats.org/officeDocument/2006/relationships/hyperlink" Target="https://nachi065.github.io/AI-Security-Wiki/23_Framework_Crosswalks/17_International_AI_Instruments_Crosswalk.html" TargetMode="External"/><Relationship Id="rId748" Type="http://schemas.openxmlformats.org/officeDocument/2006/relationships/hyperlink" Target="https://nachi065.github.io/AI-Security-Wiki/23_Framework_Crosswalks/17_International_AI_Instruments_Crosswalk.html" TargetMode="External"/><Relationship Id="rId749" Type="http://schemas.openxmlformats.org/officeDocument/2006/relationships/hyperlink" Target="https://nachi065.github.io/AI-Security-Wiki/23_Framework_Crosswalks/17_International_AI_Instruments_Crosswalk.html" TargetMode="External"/><Relationship Id="rId750" Type="http://schemas.openxmlformats.org/officeDocument/2006/relationships/hyperlink" Target="https://nachi065.github.io/AI-Security-Wiki/23_Framework_Crosswalks/17_International_AI_Instruments_Crosswalk.html" TargetMode="External"/><Relationship Id="rId751" Type="http://schemas.openxmlformats.org/officeDocument/2006/relationships/hyperlink" Target="https://nachi065.github.io/AI-Security-Wiki/23_Framework_Crosswalks/17_International_AI_Instruments_Crosswalk.html" TargetMode="External"/><Relationship Id="rId752" Type="http://schemas.openxmlformats.org/officeDocument/2006/relationships/hyperlink" Target="https://nachi065.github.io/AI-Security-Wiki/23_Framework_Crosswalks/17_International_AI_Instruments_Crosswalk.html" TargetMode="External"/><Relationship Id="rId753" Type="http://schemas.openxmlformats.org/officeDocument/2006/relationships/hyperlink" Target="https://nachi065.github.io/AI-Security-Wiki/23_Framework_Crosswalks/17_International_AI_Instruments_Crosswalk.html" TargetMode="External"/><Relationship Id="rId754" Type="http://schemas.openxmlformats.org/officeDocument/2006/relationships/hyperlink" Target="https://nachi065.github.io/AI-Security-Wiki/23_Framework_Crosswalks/17_International_AI_Instruments_Crosswalk.html" TargetMode="External"/><Relationship Id="rId755" Type="http://schemas.openxmlformats.org/officeDocument/2006/relationships/hyperlink" Target="https://nachi065.github.io/AI-Security-Wiki/23_Framework_Crosswalks/17_International_AI_Instruments_Crosswalk.html" TargetMode="External"/><Relationship Id="rId756" Type="http://schemas.openxmlformats.org/officeDocument/2006/relationships/hyperlink" Target="https://nachi065.github.io/AI-Security-Wiki/23_Framework_Crosswalks/17_International_AI_Instruments_Crosswalk.html" TargetMode="External"/><Relationship Id="rId757" Type="http://schemas.openxmlformats.org/officeDocument/2006/relationships/hyperlink" Target="https://nachi065.github.io/AI-Security-Wiki/23_Framework_Crosswalks/17_International_AI_Instruments_Crosswalk.html" TargetMode="External"/><Relationship Id="rId758" Type="http://schemas.openxmlformats.org/officeDocument/2006/relationships/hyperlink" Target="https://nachi065.github.io/AI-Security-Wiki/23_Framework_Crosswalks/17_International_AI_Instruments_Crosswalk.html" TargetMode="External"/><Relationship Id="rId759" Type="http://schemas.openxmlformats.org/officeDocument/2006/relationships/hyperlink" Target="https://nachi065.github.io/AI-Security-Wiki/23_Framework_Crosswalks/17_International_AI_Instruments_Crosswalk.html" TargetMode="External"/><Relationship Id="rId760" Type="http://schemas.openxmlformats.org/officeDocument/2006/relationships/hyperlink" Target="https://nachi065.github.io/AI-Security-Wiki/23_Framework_Crosswalks/17_International_AI_Instruments_Crosswalk.html" TargetMode="External"/><Relationship Id="rId761" Type="http://schemas.openxmlformats.org/officeDocument/2006/relationships/hyperlink" Target="https://nachi065.github.io/AI-Security-Wiki/23_Framework_Crosswalks/17_International_AI_Instruments_Crosswalk.html" TargetMode="External"/><Relationship Id="rId762" Type="http://schemas.openxmlformats.org/officeDocument/2006/relationships/hyperlink" Target="https://nachi065.github.io/AI-Security-Wiki/23_Framework_Crosswalks/17_International_AI_Instruments_Crosswalk.html" TargetMode="External"/><Relationship Id="rId763" Type="http://schemas.openxmlformats.org/officeDocument/2006/relationships/hyperlink" Target="https://nachi065.github.io/AI-Security-Wiki/23_Framework_Crosswalks/17_International_AI_Instruments_Crosswalk.html" TargetMode="External"/><Relationship Id="rId764" Type="http://schemas.openxmlformats.org/officeDocument/2006/relationships/hyperlink" Target="https://nachi065.github.io/AI-Security-Wiki/23_Framework_Crosswalks/13_Privacy_Law_Crosswalk.html" TargetMode="External"/><Relationship Id="rId765" Type="http://schemas.openxmlformats.org/officeDocument/2006/relationships/hyperlink" Target="https://nachi065.github.io/AI-Security-Wiki/23_Framework_Crosswalks/13_Privacy_Law_Crosswalk.html" TargetMode="External"/><Relationship Id="rId766" Type="http://schemas.openxmlformats.org/officeDocument/2006/relationships/hyperlink" Target="https://nachi065.github.io/AI-Security-Wiki/23_Framework_Crosswalks/13_Privacy_Law_Crosswalk.html" TargetMode="External"/><Relationship Id="rId767" Type="http://schemas.openxmlformats.org/officeDocument/2006/relationships/hyperlink" Target="https://nachi065.github.io/AI-Security-Wiki/23_Framework_Crosswalks/13_Privacy_Law_Crosswalk.html" TargetMode="External"/><Relationship Id="rId768" Type="http://schemas.openxmlformats.org/officeDocument/2006/relationships/hyperlink" Target="https://nachi065.github.io/AI-Security-Wiki/23_Framework_Crosswalks/13_Privacy_Law_Crosswalk.html" TargetMode="External"/><Relationship Id="rId769" Type="http://schemas.openxmlformats.org/officeDocument/2006/relationships/hyperlink" Target="https://nachi065.github.io/AI-Security-Wiki/23_Framework_Crosswalks/13_Privacy_Law_Crosswalk.html" TargetMode="External"/><Relationship Id="rId770" Type="http://schemas.openxmlformats.org/officeDocument/2006/relationships/hyperlink" Target="https://nachi065.github.io/AI-Security-Wiki/23_Framework_Crosswalks/13_Privacy_Law_Crosswalk.html" TargetMode="External"/><Relationship Id="rId771" Type="http://schemas.openxmlformats.org/officeDocument/2006/relationships/hyperlink" Target="https://nachi065.github.io/AI-Security-Wiki/23_Framework_Crosswalks/13_Privacy_Law_Crosswalk.html" TargetMode="External"/><Relationship Id="rId772" Type="http://schemas.openxmlformats.org/officeDocument/2006/relationships/hyperlink" Target="https://nachi065.github.io/AI-Security-Wiki/23_Framework_Crosswalks/13_Privacy_Law_Crosswalk.html" TargetMode="External"/><Relationship Id="rId773" Type="http://schemas.openxmlformats.org/officeDocument/2006/relationships/hyperlink" Target="https://nachi065.github.io/AI-Security-Wiki/23_Framework_Crosswalks/13_Privacy_Law_Crosswalk.html" TargetMode="External"/><Relationship Id="rId774" Type="http://schemas.openxmlformats.org/officeDocument/2006/relationships/hyperlink" Target="https://nachi065.github.io/AI-Security-Wiki/23_Framework_Crosswalks/13_Privacy_Law_Crosswalk.html" TargetMode="External"/><Relationship Id="rId775" Type="http://schemas.openxmlformats.org/officeDocument/2006/relationships/hyperlink" Target="https://nachi065.github.io/AI-Security-Wiki/23_Framework_Crosswalks/13_Privacy_Law_Crosswalk.html" TargetMode="External"/><Relationship Id="rId776" Type="http://schemas.openxmlformats.org/officeDocument/2006/relationships/hyperlink" Target="https://nachi065.github.io/AI-Security-Wiki/23_Framework_Crosswalks/13_Privacy_Law_Crosswalk.html" TargetMode="External"/><Relationship Id="rId777" Type="http://schemas.openxmlformats.org/officeDocument/2006/relationships/hyperlink" Target="https://nachi065.github.io/AI-Security-Wiki/23_Framework_Crosswalks/13_Privacy_Law_Crosswalk.html" TargetMode="External"/><Relationship Id="rId778" Type="http://schemas.openxmlformats.org/officeDocument/2006/relationships/hyperlink" Target="https://nachi065.github.io/AI-Security-Wiki/11_GCC_AI_Compliance/07_Regulatory_Crosswalk.html" TargetMode="External"/><Relationship Id="rId779" Type="http://schemas.openxmlformats.org/officeDocument/2006/relationships/hyperlink" Target="https://nachi065.github.io/AI-Security-Wiki/11_GCC_AI_Compliance/07_Regulatory_Crosswalk.html" TargetMode="External"/><Relationship Id="rId780" Type="http://schemas.openxmlformats.org/officeDocument/2006/relationships/hyperlink" Target="https://nachi065.github.io/AI-Security-Wiki/11_GCC_AI_Compliance/07_Regulatory_Crosswalk.html" TargetMode="External"/><Relationship Id="rId781" Type="http://schemas.openxmlformats.org/officeDocument/2006/relationships/hyperlink" Target="https://nachi065.github.io/AI-Security-Wiki/11_GCC_AI_Compliance/07_Regulatory_Crosswalk.html" TargetMode="External"/><Relationship Id="rId782" Type="http://schemas.openxmlformats.org/officeDocument/2006/relationships/hyperlink" Target="https://nachi065.github.io/AI-Security-Wiki/11_GCC_AI_Compliance/07_Regulatory_Crosswalk.html" TargetMode="External"/><Relationship Id="rId783" Type="http://schemas.openxmlformats.org/officeDocument/2006/relationships/hyperlink" Target="https://nachi065.github.io/AI-Security-Wiki/11_GCC_AI_Compliance/07_Regulatory_Crosswalk.html" TargetMode="External"/><Relationship Id="rId784" Type="http://schemas.openxmlformats.org/officeDocument/2006/relationships/hyperlink" Target="https://nachi065.github.io/AI-Security-Wiki/11_GCC_AI_Compliance/07_Regulatory_Crosswalk.html" TargetMode="External"/><Relationship Id="rId785" Type="http://schemas.openxmlformats.org/officeDocument/2006/relationships/hyperlink" Target="https://nachi065.github.io/AI-Security-Wiki/11_GCC_AI_Compliance/07_Regulatory_Crosswalk.html" TargetMode="External"/><Relationship Id="rId786" Type="http://schemas.openxmlformats.org/officeDocument/2006/relationships/hyperlink" Target="https://nachi065.github.io/AI-Security-Wiki/11_GCC_AI_Compliance/07_Regulatory_Crosswalk.html" TargetMode="External"/><Relationship Id="rId787" Type="http://schemas.openxmlformats.org/officeDocument/2006/relationships/hyperlink" Target="https://nachi065.github.io/AI-Security-Wiki/11_GCC_AI_Compliance/07_Regulatory_Crosswalk.html" TargetMode="External"/><Relationship Id="rId788" Type="http://schemas.openxmlformats.org/officeDocument/2006/relationships/hyperlink" Target="https://nachi065.github.io/AI-Security-Wiki/11_GCC_AI_Compliance/07_Regulatory_Crosswalk.html" TargetMode="External"/><Relationship Id="rId789" Type="http://schemas.openxmlformats.org/officeDocument/2006/relationships/hyperlink" Target="https://nachi065.github.io/AI-Security-Wiki/11_GCC_AI_Compliance/07_Regulatory_Crosswalk.html" TargetMode="External"/><Relationship Id="rId790" Type="http://schemas.openxmlformats.org/officeDocument/2006/relationships/hyperlink" Target="https://nachi065.github.io/AI-Security-Wiki/11_GCC_AI_Compliance/07_Regulatory_Crosswalk.html" TargetMode="External"/><Relationship Id="rId791" Type="http://schemas.openxmlformats.org/officeDocument/2006/relationships/hyperlink" Target="https://nachi065.github.io/AI-Security-Wiki/11_GCC_AI_Compliance/07_Regulatory_Crosswalk.html" TargetMode="External"/><Relationship Id="rId792" Type="http://schemas.openxmlformats.org/officeDocument/2006/relationships/hyperlink" Target="https://nachi065.github.io/AI-Security-Wiki/11_GCC_AI_Compliance/07_Regulatory_Crosswalk.html" TargetMode="External"/><Relationship Id="rId793" Type="http://schemas.openxmlformats.org/officeDocument/2006/relationships/hyperlink" Target="https://nachi065.github.io/AI-Security-Wiki/11_GCC_AI_Compliance/07_Regulatory_Crosswalk.html" TargetMode="External"/><Relationship Id="rId794" Type="http://schemas.openxmlformats.org/officeDocument/2006/relationships/hyperlink" Target="https://nachi065.github.io/AI-Security-Wiki/11_GCC_AI_Compliance/07_Regulatory_Crosswalk.html" TargetMode="External"/><Relationship Id="rId795" Type="http://schemas.openxmlformats.org/officeDocument/2006/relationships/hyperlink" Target="https://nachi065.github.io/AI-Security-Wiki/11_GCC_AI_Compliance/07_Regulatory_Crosswalk.html" TargetMode="External"/><Relationship Id="rId796" Type="http://schemas.openxmlformats.org/officeDocument/2006/relationships/hyperlink" Target="https://nachi065.github.io/AI-Security-Wiki/11_GCC_AI_Compliance/07_Regulatory_Crosswalk.html" TargetMode="External"/><Relationship Id="rId797" Type="http://schemas.openxmlformats.org/officeDocument/2006/relationships/hyperlink" Target="https://nachi065.github.io/AI-Security-Wiki/11_GCC_AI_Compliance/07_Regulatory_Crosswalk.html" TargetMode="External"/><Relationship Id="rId798" Type="http://schemas.openxmlformats.org/officeDocument/2006/relationships/hyperlink" Target="https://nachi065.github.io/AI-Security-Wiki/11_GCC_AI_Compliance/07_Regulatory_Crosswalk.html" TargetMode="External"/><Relationship Id="rId799" Type="http://schemas.openxmlformats.org/officeDocument/2006/relationships/hyperlink" Target="https://nachi065.github.io/AI-Security-Wiki/11_GCC_AI_Compliance/07_Regulatory_Crosswalk.html" TargetMode="External"/><Relationship Id="rId800" Type="http://schemas.openxmlformats.org/officeDocument/2006/relationships/hyperlink" Target="https://nachi065.github.io/AI-Security-Wiki/11_GCC_AI_Compliance/07_Regulatory_Crosswalk.html" TargetMode="External"/><Relationship Id="rId801" Type="http://schemas.openxmlformats.org/officeDocument/2006/relationships/hyperlink" Target="https://nachi065.github.io/AI-Security-Wiki/11_GCC_AI_Compliance/07_Regulatory_Crosswalk.html" TargetMode="External"/><Relationship Id="rId802" Type="http://schemas.openxmlformats.org/officeDocument/2006/relationships/hyperlink" Target="https://nachi065.github.io/AI-Security-Wiki/11_GCC_AI_Compliance/07_Regulatory_Crosswalk.html" TargetMode="External"/><Relationship Id="rId803" Type="http://schemas.openxmlformats.org/officeDocument/2006/relationships/hyperlink" Target="https://nachi065.github.io/AI-Security-Wiki/11_GCC_AI_Compliance/07_Regulatory_Crosswalk.html" TargetMode="External"/><Relationship Id="rId804" Type="http://schemas.openxmlformats.org/officeDocument/2006/relationships/hyperlink" Target="https://nachi065.github.io/AI-Security-Wiki/11_GCC_AI_Compliance/07_Regulatory_Crosswalk.html" TargetMode="External"/><Relationship Id="rId805" Type="http://schemas.openxmlformats.org/officeDocument/2006/relationships/hyperlink" Target="https://nachi065.github.io/AI-Security-Wiki/11_GCC_AI_Compliance/07_Regulatory_Crosswalk.html" TargetMode="External"/><Relationship Id="rId806" Type="http://schemas.openxmlformats.org/officeDocument/2006/relationships/hyperlink" Target="https://nachi065.github.io/AI-Security-Wiki/11_GCC_AI_Compliance/07_Regulatory_Crosswalk.html" TargetMode="External"/><Relationship Id="rId807" Type="http://schemas.openxmlformats.org/officeDocument/2006/relationships/hyperlink" Target="https://nachi065.github.io/AI-Security-Wiki/11_GCC_AI_Compliance/07_Regulatory_Crosswalk.html" TargetMode="External"/><Relationship Id="rId808" Type="http://schemas.openxmlformats.org/officeDocument/2006/relationships/hyperlink" Target="https://nachi065.github.io/AI-Security-Wiki/11_GCC_AI_Compliance/07_Regulatory_Crosswalk.html" TargetMode="External"/><Relationship Id="rId809" Type="http://schemas.openxmlformats.org/officeDocument/2006/relationships/hyperlink" Target="https://nachi065.github.io/AI-Security-Wiki/11_GCC_AI_Compliance/07_Regulatory_Crosswalk.html" TargetMode="External"/><Relationship Id="rId810" Type="http://schemas.openxmlformats.org/officeDocument/2006/relationships/hyperlink" Target="https://nachi065.github.io/AI-Security-Wiki/11_GCC_AI_Compliance/07_Regulatory_Crosswalk.html" TargetMode="External"/><Relationship Id="rId811" Type="http://schemas.openxmlformats.org/officeDocument/2006/relationships/hyperlink" Target="https://nachi065.github.io/AI-Security-Wiki/12_EU_AI_Compliance/07_Regulatory_Crosswalk.html" TargetMode="External"/><Relationship Id="rId812" Type="http://schemas.openxmlformats.org/officeDocument/2006/relationships/hyperlink" Target="https://nachi065.github.io/AI-Security-Wiki/12_EU_AI_Compliance/07_Regulatory_Crosswalk.html" TargetMode="External"/><Relationship Id="rId813" Type="http://schemas.openxmlformats.org/officeDocument/2006/relationships/hyperlink" Target="https://nachi065.github.io/AI-Security-Wiki/12_EU_AI_Compliance/07_Regulatory_Crosswalk.html" TargetMode="External"/><Relationship Id="rId814" Type="http://schemas.openxmlformats.org/officeDocument/2006/relationships/hyperlink" Target="https://nachi065.github.io/AI-Security-Wiki/12_EU_AI_Compliance/07_Regulatory_Crosswalk.html" TargetMode="External"/><Relationship Id="rId815" Type="http://schemas.openxmlformats.org/officeDocument/2006/relationships/hyperlink" Target="https://nachi065.github.io/AI-Security-Wiki/12_EU_AI_Compliance/07_Regulatory_Crosswalk.html" TargetMode="External"/><Relationship Id="rId816" Type="http://schemas.openxmlformats.org/officeDocument/2006/relationships/hyperlink" Target="https://nachi065.github.io/AI-Security-Wiki/12_EU_AI_Compliance/07_Regulatory_Crosswalk.html" TargetMode="External"/><Relationship Id="rId817" Type="http://schemas.openxmlformats.org/officeDocument/2006/relationships/hyperlink" Target="https://nachi065.github.io/AI-Security-Wiki/12_EU_AI_Compliance/07_Regulatory_Crosswalk.html" TargetMode="External"/><Relationship Id="rId818" Type="http://schemas.openxmlformats.org/officeDocument/2006/relationships/hyperlink" Target="https://nachi065.github.io/AI-Security-Wiki/12_EU_AI_Compliance/07_Regulatory_Crosswalk.html" TargetMode="External"/><Relationship Id="rId819" Type="http://schemas.openxmlformats.org/officeDocument/2006/relationships/hyperlink" Target="https://nachi065.github.io/AI-Security-Wiki/12_EU_AI_Compliance/07_Regulatory_Crosswalk.html" TargetMode="External"/><Relationship Id="rId820" Type="http://schemas.openxmlformats.org/officeDocument/2006/relationships/hyperlink" Target="https://nachi065.github.io/AI-Security-Wiki/12_EU_AI_Compliance/07_Regulatory_Crosswalk.html" TargetMode="External"/><Relationship Id="rId821" Type="http://schemas.openxmlformats.org/officeDocument/2006/relationships/hyperlink" Target="https://nachi065.github.io/AI-Security-Wiki/12_EU_AI_Compliance/07_Regulatory_Crosswalk.html" TargetMode="External"/><Relationship Id="rId822" Type="http://schemas.openxmlformats.org/officeDocument/2006/relationships/hyperlink" Target="https://nachi065.github.io/AI-Security-Wiki/12_EU_AI_Compliance/07_Regulatory_Crosswalk.html" TargetMode="External"/><Relationship Id="rId823" Type="http://schemas.openxmlformats.org/officeDocument/2006/relationships/hyperlink" Target="https://nachi065.github.io/AI-Security-Wiki/12_EU_AI_Compliance/07_Regulatory_Crosswalk.html" TargetMode="External"/><Relationship Id="rId824" Type="http://schemas.openxmlformats.org/officeDocument/2006/relationships/hyperlink" Target="https://nachi065.github.io/AI-Security-Wiki/12_EU_AI_Compliance/07_Regulatory_Crosswalk.html" TargetMode="External"/><Relationship Id="rId825" Type="http://schemas.openxmlformats.org/officeDocument/2006/relationships/hyperlink" Target="https://nachi065.github.io/AI-Security-Wiki/12_EU_AI_Compliance/07_Regulatory_Crosswalk.html" TargetMode="External"/><Relationship Id="rId826" Type="http://schemas.openxmlformats.org/officeDocument/2006/relationships/hyperlink" Target="https://nachi065.github.io/AI-Security-Wiki/12_EU_AI_Compliance/07_Regulatory_Crosswalk.html" TargetMode="External"/><Relationship Id="rId827" Type="http://schemas.openxmlformats.org/officeDocument/2006/relationships/hyperlink" Target="https://nachi065.github.io/AI-Security-Wiki/12_EU_AI_Compliance/07_Regulatory_Crosswalk.html" TargetMode="External"/><Relationship Id="rId828" Type="http://schemas.openxmlformats.org/officeDocument/2006/relationships/hyperlink" Target="https://nachi065.github.io/AI-Security-Wiki/12_EU_AI_Compliance/07_Regulatory_Crosswalk.html" TargetMode="External"/><Relationship Id="rId829" Type="http://schemas.openxmlformats.org/officeDocument/2006/relationships/hyperlink" Target="https://nachi065.github.io/AI-Security-Wiki/12_EU_AI_Compliance/07_Regulatory_Crosswalk.html" TargetMode="External"/><Relationship Id="rId830" Type="http://schemas.openxmlformats.org/officeDocument/2006/relationships/hyperlink" Target="https://nachi065.github.io/AI-Security-Wiki/12_EU_AI_Compliance/07_Regulatory_Crosswalk.html" TargetMode="External"/><Relationship Id="rId831" Type="http://schemas.openxmlformats.org/officeDocument/2006/relationships/hyperlink" Target="https://nachi065.github.io/AI-Security-Wiki/12_EU_AI_Compliance/07_Regulatory_Crosswalk.html" TargetMode="External"/><Relationship Id="rId832" Type="http://schemas.openxmlformats.org/officeDocument/2006/relationships/hyperlink" Target="https://nachi065.github.io/AI-Security-Wiki/12_EU_AI_Compliance/07_Regulatory_Crosswalk.html" TargetMode="External"/><Relationship Id="rId833" Type="http://schemas.openxmlformats.org/officeDocument/2006/relationships/hyperlink" Target="https://nachi065.github.io/AI-Security-Wiki/12_EU_AI_Compliance/07_Regulatory_Crosswalk.html" TargetMode="External"/><Relationship Id="rId834" Type="http://schemas.openxmlformats.org/officeDocument/2006/relationships/hyperlink" Target="https://nachi065.github.io/AI-Security-Wiki/21_UK_AI_Compliance/03_Regulatory_Crosswalk.html" TargetMode="External"/><Relationship Id="rId835" Type="http://schemas.openxmlformats.org/officeDocument/2006/relationships/hyperlink" Target="https://nachi065.github.io/AI-Security-Wiki/21_UK_AI_Compliance/03_Regulatory_Crosswalk.html" TargetMode="External"/><Relationship Id="rId836" Type="http://schemas.openxmlformats.org/officeDocument/2006/relationships/hyperlink" Target="https://nachi065.github.io/AI-Security-Wiki/21_UK_AI_Compliance/03_Regulatory_Crosswalk.html" TargetMode="External"/><Relationship Id="rId837" Type="http://schemas.openxmlformats.org/officeDocument/2006/relationships/hyperlink" Target="https://nachi065.github.io/AI-Security-Wiki/21_UK_AI_Compliance/03_Regulatory_Crosswalk.html" TargetMode="External"/><Relationship Id="rId838" Type="http://schemas.openxmlformats.org/officeDocument/2006/relationships/hyperlink" Target="https://nachi065.github.io/AI-Security-Wiki/21_UK_AI_Compliance/03_Regulatory_Crosswalk.html" TargetMode="External"/><Relationship Id="rId839" Type="http://schemas.openxmlformats.org/officeDocument/2006/relationships/hyperlink" Target="https://nachi065.github.io/AI-Security-Wiki/21_UK_AI_Compliance/03_Regulatory_Crosswalk.html" TargetMode="External"/><Relationship Id="rId840" Type="http://schemas.openxmlformats.org/officeDocument/2006/relationships/hyperlink" Target="https://nachi065.github.io/AI-Security-Wiki/21_UK_AI_Compliance/03_Regulatory_Crosswalk.html" TargetMode="External"/><Relationship Id="rId841" Type="http://schemas.openxmlformats.org/officeDocument/2006/relationships/hyperlink" Target="https://nachi065.github.io/AI-Security-Wiki/21_UK_AI_Compliance/03_Regulatory_Crosswalk.html" TargetMode="External"/><Relationship Id="rId842" Type="http://schemas.openxmlformats.org/officeDocument/2006/relationships/hyperlink" Target="https://nachi065.github.io/AI-Security-Wiki/21_UK_AI_Compliance/03_Regulatory_Crosswalk.html" TargetMode="External"/><Relationship Id="rId843" Type="http://schemas.openxmlformats.org/officeDocument/2006/relationships/hyperlink" Target="https://nachi065.github.io/AI-Security-Wiki/21_UK_AI_Compliance/03_Regulatory_Crosswalk.html" TargetMode="External"/><Relationship Id="rId844" Type="http://schemas.openxmlformats.org/officeDocument/2006/relationships/hyperlink" Target="https://nachi065.github.io/AI-Security-Wiki/21_UK_AI_Compliance/03_Regulatory_Crosswalk.html" TargetMode="External"/><Relationship Id="rId845" Type="http://schemas.openxmlformats.org/officeDocument/2006/relationships/hyperlink" Target="https://nachi065.github.io/AI-Security-Wiki/21_UK_AI_Compliance/03_Regulatory_Crosswalk.html" TargetMode="External"/><Relationship Id="rId846" Type="http://schemas.openxmlformats.org/officeDocument/2006/relationships/hyperlink" Target="https://nachi065.github.io/AI-Security-Wiki/21_UK_AI_Compliance/03_Regulatory_Crosswalk.html" TargetMode="External"/><Relationship Id="rId847" Type="http://schemas.openxmlformats.org/officeDocument/2006/relationships/hyperlink" Target="https://nachi065.github.io/AI-Security-Wiki/22_US_AI_Compliance/03_Regulatory_Crosswalk.html" TargetMode="External"/><Relationship Id="rId848" Type="http://schemas.openxmlformats.org/officeDocument/2006/relationships/hyperlink" Target="https://nachi065.github.io/AI-Security-Wiki/22_US_AI_Compliance/03_Regulatory_Crosswalk.html" TargetMode="External"/><Relationship Id="rId849" Type="http://schemas.openxmlformats.org/officeDocument/2006/relationships/hyperlink" Target="https://nachi065.github.io/AI-Security-Wiki/22_US_AI_Compliance/03_Regulatory_Crosswalk.html" TargetMode="External"/><Relationship Id="rId850" Type="http://schemas.openxmlformats.org/officeDocument/2006/relationships/hyperlink" Target="https://nachi065.github.io/AI-Security-Wiki/22_US_AI_Compliance/03_Regulatory_Crosswalk.html" TargetMode="External"/><Relationship Id="rId851" Type="http://schemas.openxmlformats.org/officeDocument/2006/relationships/hyperlink" Target="https://nachi065.github.io/AI-Security-Wiki/22_US_AI_Compliance/03_Regulatory_Crosswalk.html" TargetMode="External"/><Relationship Id="rId852" Type="http://schemas.openxmlformats.org/officeDocument/2006/relationships/hyperlink" Target="https://nachi065.github.io/AI-Security-Wiki/22_US_AI_Compliance/03_Regulatory_Crosswalk.html" TargetMode="External"/><Relationship Id="rId853" Type="http://schemas.openxmlformats.org/officeDocument/2006/relationships/hyperlink" Target="https://nachi065.github.io/AI-Security-Wiki/22_US_AI_Compliance/03_Regulatory_Crosswalk.html" TargetMode="External"/><Relationship Id="rId854" Type="http://schemas.openxmlformats.org/officeDocument/2006/relationships/hyperlink" Target="https://nachi065.github.io/AI-Security-Wiki/22_US_AI_Compliance/03_Regulatory_Crosswalk.html" TargetMode="External"/><Relationship Id="rId855" Type="http://schemas.openxmlformats.org/officeDocument/2006/relationships/hyperlink" Target="https://nachi065.github.io/AI-Security-Wiki/22_US_AI_Compliance/03_Regulatory_Crosswalk.html" TargetMode="External"/><Relationship Id="rId856" Type="http://schemas.openxmlformats.org/officeDocument/2006/relationships/hyperlink" Target="https://nachi065.github.io/AI-Security-Wiki/22_US_AI_Compliance/03_Regulatory_Crosswalk.html" TargetMode="External"/><Relationship Id="rId857" Type="http://schemas.openxmlformats.org/officeDocument/2006/relationships/hyperlink" Target="https://nachi065.github.io/AI-Security-Wiki/22_US_AI_Compliance/03_Regulatory_Crosswalk.html" TargetMode="External"/><Relationship Id="rId858" Type="http://schemas.openxmlformats.org/officeDocument/2006/relationships/hyperlink" Target="https://nachi065.github.io/AI-Security-Wiki/22_US_AI_Compliance/03_Regulatory_Crosswalk.html" TargetMode="External"/><Relationship Id="rId859" Type="http://schemas.openxmlformats.org/officeDocument/2006/relationships/hyperlink" Target="https://nachi065.github.io/AI-Security-Wiki/22_US_AI_Compliance/03_Regulatory_Crosswalk.html" TargetMode="External"/><Relationship Id="rId860" Type="http://schemas.openxmlformats.org/officeDocument/2006/relationships/hyperlink" Target="https://nachi065.github.io/AI-Security-Wiki/22_US_AI_Compliance/03_Regulatory_Crosswalk.html" TargetMode="External"/><Relationship Id="rId861" Type="http://schemas.openxmlformats.org/officeDocument/2006/relationships/hyperlink" Target="https://nachi065.github.io/AI-Security-Wiki/22_US_AI_Compliance/03_Regulatory_Crosswalk.html" TargetMode="External"/><Relationship Id="rId862" Type="http://schemas.openxmlformats.org/officeDocument/2006/relationships/hyperlink" Target="https://nachi065.github.io/AI-Security-Wiki/22_US_AI_Compliance/03_Regulatory_Crosswalk.html" TargetMode="External"/><Relationship Id="rId863" Type="http://schemas.openxmlformats.org/officeDocument/2006/relationships/hyperlink" Target="https://nachi065.github.io/AI-Security-Wiki/22_US_AI_Compliance/03_Regulatory_Crosswalk.html" TargetMode="External"/><Relationship Id="rId864" Type="http://schemas.openxmlformats.org/officeDocument/2006/relationships/hyperlink" Target="https://nachi065.github.io/AI-Security-Wiki/13_Australia_AI_Compliance/03_Regulatory_Crosswalk.html" TargetMode="External"/><Relationship Id="rId865" Type="http://schemas.openxmlformats.org/officeDocument/2006/relationships/hyperlink" Target="https://nachi065.github.io/AI-Security-Wiki/13_Australia_AI_Compliance/03_Regulatory_Crosswalk.html" TargetMode="External"/><Relationship Id="rId866" Type="http://schemas.openxmlformats.org/officeDocument/2006/relationships/hyperlink" Target="https://nachi065.github.io/AI-Security-Wiki/13_Australia_AI_Compliance/03_Regulatory_Crosswalk.html" TargetMode="External"/><Relationship Id="rId867" Type="http://schemas.openxmlformats.org/officeDocument/2006/relationships/hyperlink" Target="https://nachi065.github.io/AI-Security-Wiki/13_Australia_AI_Compliance/03_Regulatory_Crosswalk.html" TargetMode="External"/><Relationship Id="rId868" Type="http://schemas.openxmlformats.org/officeDocument/2006/relationships/hyperlink" Target="https://nachi065.github.io/AI-Security-Wiki/13_Australia_AI_Compliance/03_Regulatory_Crosswalk.html" TargetMode="External"/><Relationship Id="rId869" Type="http://schemas.openxmlformats.org/officeDocument/2006/relationships/hyperlink" Target="https://nachi065.github.io/AI-Security-Wiki/13_Australia_AI_Compliance/03_Regulatory_Crosswalk.html" TargetMode="External"/><Relationship Id="rId870" Type="http://schemas.openxmlformats.org/officeDocument/2006/relationships/hyperlink" Target="https://nachi065.github.io/AI-Security-Wiki/13_Australia_AI_Compliance/03_Regulatory_Crosswalk.html" TargetMode="External"/><Relationship Id="rId871" Type="http://schemas.openxmlformats.org/officeDocument/2006/relationships/hyperlink" Target="https://nachi065.github.io/AI-Security-Wiki/13_Australia_AI_Compliance/03_Regulatory_Crosswalk.html" TargetMode="External"/><Relationship Id="rId872" Type="http://schemas.openxmlformats.org/officeDocument/2006/relationships/hyperlink" Target="https://nachi065.github.io/AI-Security-Wiki/13_Australia_AI_Compliance/03_Regulatory_Crosswalk.html" TargetMode="External"/><Relationship Id="rId873" Type="http://schemas.openxmlformats.org/officeDocument/2006/relationships/hyperlink" Target="https://nachi065.github.io/AI-Security-Wiki/13_Australia_AI_Compliance/03_Regulatory_Crosswalk.html" TargetMode="External"/><Relationship Id="rId874" Type="http://schemas.openxmlformats.org/officeDocument/2006/relationships/hyperlink" Target="https://nachi065.github.io/AI-Security-Wiki/14_Brazil_AI_Compliance/03_Regulatory_Crosswalk.html" TargetMode="External"/><Relationship Id="rId875" Type="http://schemas.openxmlformats.org/officeDocument/2006/relationships/hyperlink" Target="https://nachi065.github.io/AI-Security-Wiki/14_Brazil_AI_Compliance/03_Regulatory_Crosswalk.html" TargetMode="External"/><Relationship Id="rId876" Type="http://schemas.openxmlformats.org/officeDocument/2006/relationships/hyperlink" Target="https://nachi065.github.io/AI-Security-Wiki/14_Brazil_AI_Compliance/03_Regulatory_Crosswalk.html" TargetMode="External"/><Relationship Id="rId877" Type="http://schemas.openxmlformats.org/officeDocument/2006/relationships/hyperlink" Target="https://nachi065.github.io/AI-Security-Wiki/14_Brazil_AI_Compliance/03_Regulatory_Crosswalk.html" TargetMode="External"/><Relationship Id="rId878" Type="http://schemas.openxmlformats.org/officeDocument/2006/relationships/hyperlink" Target="https://nachi065.github.io/AI-Security-Wiki/15_Canada_AI_Compliance/03_Regulatory_Crosswalk.html" TargetMode="External"/><Relationship Id="rId879" Type="http://schemas.openxmlformats.org/officeDocument/2006/relationships/hyperlink" Target="https://nachi065.github.io/AI-Security-Wiki/15_Canada_AI_Compliance/03_Regulatory_Crosswalk.html" TargetMode="External"/><Relationship Id="rId880" Type="http://schemas.openxmlformats.org/officeDocument/2006/relationships/hyperlink" Target="https://nachi065.github.io/AI-Security-Wiki/15_Canada_AI_Compliance/03_Regulatory_Crosswalk.html" TargetMode="External"/><Relationship Id="rId881" Type="http://schemas.openxmlformats.org/officeDocument/2006/relationships/hyperlink" Target="https://nachi065.github.io/AI-Security-Wiki/15_Canada_AI_Compliance/03_Regulatory_Crosswalk.html" TargetMode="External"/><Relationship Id="rId882" Type="http://schemas.openxmlformats.org/officeDocument/2006/relationships/hyperlink" Target="https://nachi065.github.io/AI-Security-Wiki/15_Canada_AI_Compliance/03_Regulatory_Crosswalk.html" TargetMode="External"/><Relationship Id="rId883" Type="http://schemas.openxmlformats.org/officeDocument/2006/relationships/hyperlink" Target="https://nachi065.github.io/AI-Security-Wiki/15_Canada_AI_Compliance/03_Regulatory_Crosswalk.html" TargetMode="External"/><Relationship Id="rId884" Type="http://schemas.openxmlformats.org/officeDocument/2006/relationships/hyperlink" Target="https://nachi065.github.io/AI-Security-Wiki/15_Canada_AI_Compliance/03_Regulatory_Crosswalk.html" TargetMode="External"/><Relationship Id="rId885" Type="http://schemas.openxmlformats.org/officeDocument/2006/relationships/hyperlink" Target="https://nachi065.github.io/AI-Security-Wiki/15_Canada_AI_Compliance/03_Regulatory_Crosswalk.html" TargetMode="External"/><Relationship Id="rId886" Type="http://schemas.openxmlformats.org/officeDocument/2006/relationships/hyperlink" Target="https://nachi065.github.io/AI-Security-Wiki/16_China_AI_Compliance/03_Regulatory_Crosswalk.html" TargetMode="External"/><Relationship Id="rId887" Type="http://schemas.openxmlformats.org/officeDocument/2006/relationships/hyperlink" Target="https://nachi065.github.io/AI-Security-Wiki/16_China_AI_Compliance/03_Regulatory_Crosswalk.html" TargetMode="External"/><Relationship Id="rId888" Type="http://schemas.openxmlformats.org/officeDocument/2006/relationships/hyperlink" Target="https://nachi065.github.io/AI-Security-Wiki/16_China_AI_Compliance/03_Regulatory_Crosswalk.html" TargetMode="External"/><Relationship Id="rId889" Type="http://schemas.openxmlformats.org/officeDocument/2006/relationships/hyperlink" Target="https://nachi065.github.io/AI-Security-Wiki/16_China_AI_Compliance/03_Regulatory_Crosswalk.html" TargetMode="External"/><Relationship Id="rId890" Type="http://schemas.openxmlformats.org/officeDocument/2006/relationships/hyperlink" Target="https://nachi065.github.io/AI-Security-Wiki/16_China_AI_Compliance/03_Regulatory_Crosswalk.html" TargetMode="External"/><Relationship Id="rId891" Type="http://schemas.openxmlformats.org/officeDocument/2006/relationships/hyperlink" Target="https://nachi065.github.io/AI-Security-Wiki/16_China_AI_Compliance/03_Regulatory_Crosswalk.html" TargetMode="External"/><Relationship Id="rId892" Type="http://schemas.openxmlformats.org/officeDocument/2006/relationships/hyperlink" Target="https://nachi065.github.io/AI-Security-Wiki/16_China_AI_Compliance/03_Regulatory_Crosswalk.html" TargetMode="External"/><Relationship Id="rId893" Type="http://schemas.openxmlformats.org/officeDocument/2006/relationships/hyperlink" Target="https://nachi065.github.io/AI-Security-Wiki/16_China_AI_Compliance/03_Regulatory_Crosswalk.html" TargetMode="External"/><Relationship Id="rId894" Type="http://schemas.openxmlformats.org/officeDocument/2006/relationships/hyperlink" Target="https://nachi065.github.io/AI-Security-Wiki/16_China_AI_Compliance/03_Regulatory_Crosswalk.html" TargetMode="External"/><Relationship Id="rId895" Type="http://schemas.openxmlformats.org/officeDocument/2006/relationships/hyperlink" Target="https://nachi065.github.io/AI-Security-Wiki/17_India_AI_Compliance/03_Regulatory_Crosswalk.html" TargetMode="External"/><Relationship Id="rId896" Type="http://schemas.openxmlformats.org/officeDocument/2006/relationships/hyperlink" Target="https://nachi065.github.io/AI-Security-Wiki/17_India_AI_Compliance/03_Regulatory_Crosswalk.html" TargetMode="External"/><Relationship Id="rId897" Type="http://schemas.openxmlformats.org/officeDocument/2006/relationships/hyperlink" Target="https://nachi065.github.io/AI-Security-Wiki/17_India_AI_Compliance/03_Regulatory_Crosswalk.html" TargetMode="External"/><Relationship Id="rId898" Type="http://schemas.openxmlformats.org/officeDocument/2006/relationships/hyperlink" Target="https://nachi065.github.io/AI-Security-Wiki/17_India_AI_Compliance/03_Regulatory_Crosswalk.html" TargetMode="External"/><Relationship Id="rId899" Type="http://schemas.openxmlformats.org/officeDocument/2006/relationships/hyperlink" Target="https://nachi065.github.io/AI-Security-Wiki/17_India_AI_Compliance/03_Regulatory_Crosswalk.html" TargetMode="External"/><Relationship Id="rId900" Type="http://schemas.openxmlformats.org/officeDocument/2006/relationships/hyperlink" Target="https://nachi065.github.io/AI-Security-Wiki/17_India_AI_Compliance/03_Regulatory_Crosswalk.html" TargetMode="External"/><Relationship Id="rId901" Type="http://schemas.openxmlformats.org/officeDocument/2006/relationships/hyperlink" Target="https://nachi065.github.io/AI-Security-Wiki/17_India_AI_Compliance/03_Regulatory_Crosswalk.html" TargetMode="External"/><Relationship Id="rId902" Type="http://schemas.openxmlformats.org/officeDocument/2006/relationships/hyperlink" Target="https://nachi065.github.io/AI-Security-Wiki/17_India_AI_Compliance/03_Regulatory_Crosswalk.html" TargetMode="External"/><Relationship Id="rId903" Type="http://schemas.openxmlformats.org/officeDocument/2006/relationships/hyperlink" Target="https://nachi065.github.io/AI-Security-Wiki/17_India_AI_Compliance/03_Regulatory_Crosswalk.html" TargetMode="External"/><Relationship Id="rId904" Type="http://schemas.openxmlformats.org/officeDocument/2006/relationships/hyperlink" Target="https://nachi065.github.io/AI-Security-Wiki/17_India_AI_Compliance/03_Regulatory_Crosswalk.html" TargetMode="External"/><Relationship Id="rId905" Type="http://schemas.openxmlformats.org/officeDocument/2006/relationships/hyperlink" Target="https://nachi065.github.io/AI-Security-Wiki/17_India_AI_Compliance/03_Regulatory_Crosswalk.html" TargetMode="External"/><Relationship Id="rId906" Type="http://schemas.openxmlformats.org/officeDocument/2006/relationships/hyperlink" Target="https://nachi065.github.io/AI-Security-Wiki/17_India_AI_Compliance/03_Regulatory_Crosswalk.html" TargetMode="External"/><Relationship Id="rId907" Type="http://schemas.openxmlformats.org/officeDocument/2006/relationships/hyperlink" Target="https://nachi065.github.io/AI-Security-Wiki/17_India_AI_Compliance/03_Regulatory_Crosswalk.html" TargetMode="External"/><Relationship Id="rId908" Type="http://schemas.openxmlformats.org/officeDocument/2006/relationships/hyperlink" Target="https://nachi065.github.io/AI-Security-Wiki/18_Japan_AI_Compliance/03_Regulatory_Crosswalk.html" TargetMode="External"/><Relationship Id="rId909" Type="http://schemas.openxmlformats.org/officeDocument/2006/relationships/hyperlink" Target="https://nachi065.github.io/AI-Security-Wiki/18_Japan_AI_Compliance/03_Regulatory_Crosswalk.html" TargetMode="External"/><Relationship Id="rId910" Type="http://schemas.openxmlformats.org/officeDocument/2006/relationships/hyperlink" Target="https://nachi065.github.io/AI-Security-Wiki/18_Japan_AI_Compliance/03_Regulatory_Crosswalk.html" TargetMode="External"/><Relationship Id="rId911" Type="http://schemas.openxmlformats.org/officeDocument/2006/relationships/hyperlink" Target="https://nachi065.github.io/AI-Security-Wiki/18_Japan_AI_Compliance/03_Regulatory_Crosswalk.html" TargetMode="External"/><Relationship Id="rId912" Type="http://schemas.openxmlformats.org/officeDocument/2006/relationships/hyperlink" Target="https://nachi065.github.io/AI-Security-Wiki/18_Japan_AI_Compliance/03_Regulatory_Crosswalk.html" TargetMode="External"/><Relationship Id="rId913" Type="http://schemas.openxmlformats.org/officeDocument/2006/relationships/hyperlink" Target="https://nachi065.github.io/AI-Security-Wiki/18_Japan_AI_Compliance/03_Regulatory_Crosswalk.html" TargetMode="External"/><Relationship Id="rId914" Type="http://schemas.openxmlformats.org/officeDocument/2006/relationships/hyperlink" Target="https://nachi065.github.io/AI-Security-Wiki/19_Singapore_AI_Compliance/03_Regulatory_Crosswalk.html" TargetMode="External"/><Relationship Id="rId915" Type="http://schemas.openxmlformats.org/officeDocument/2006/relationships/hyperlink" Target="https://nachi065.github.io/AI-Security-Wiki/19_Singapore_AI_Compliance/03_Regulatory_Crosswalk.html" TargetMode="External"/><Relationship Id="rId916" Type="http://schemas.openxmlformats.org/officeDocument/2006/relationships/hyperlink" Target="https://nachi065.github.io/AI-Security-Wiki/19_Singapore_AI_Compliance/03_Regulatory_Crosswalk.html" TargetMode="External"/><Relationship Id="rId917" Type="http://schemas.openxmlformats.org/officeDocument/2006/relationships/hyperlink" Target="https://nachi065.github.io/AI-Security-Wiki/19_Singapore_AI_Compliance/03_Regulatory_Crosswalk.html" TargetMode="External"/><Relationship Id="rId918" Type="http://schemas.openxmlformats.org/officeDocument/2006/relationships/hyperlink" Target="https://nachi065.github.io/AI-Security-Wiki/19_Singapore_AI_Compliance/03_Regulatory_Crosswalk.html" TargetMode="External"/><Relationship Id="rId919" Type="http://schemas.openxmlformats.org/officeDocument/2006/relationships/hyperlink" Target="https://nachi065.github.io/AI-Security-Wiki/19_Singapore_AI_Compliance/03_Regulatory_Crosswalk.html" TargetMode="External"/><Relationship Id="rId920" Type="http://schemas.openxmlformats.org/officeDocument/2006/relationships/hyperlink" Target="https://nachi065.github.io/AI-Security-Wiki/19_Singapore_AI_Compliance/03_Regulatory_Crosswalk.html" TargetMode="External"/><Relationship Id="rId921" Type="http://schemas.openxmlformats.org/officeDocument/2006/relationships/hyperlink" Target="https://nachi065.github.io/AI-Security-Wiki/19_Singapore_AI_Compliance/03_Regulatory_Crosswalk.html" TargetMode="External"/><Relationship Id="rId922" Type="http://schemas.openxmlformats.org/officeDocument/2006/relationships/hyperlink" Target="https://nachi065.github.io/AI-Security-Wiki/19_Singapore_AI_Compliance/03_Regulatory_Crosswalk.html" TargetMode="External"/><Relationship Id="rId923" Type="http://schemas.openxmlformats.org/officeDocument/2006/relationships/hyperlink" Target="https://nachi065.github.io/AI-Security-Wiki/19_Singapore_AI_Compliance/03_Regulatory_Crosswalk.html" TargetMode="External"/><Relationship Id="rId924" Type="http://schemas.openxmlformats.org/officeDocument/2006/relationships/hyperlink" Target="https://nachi065.github.io/AI-Security-Wiki/19_Singapore_AI_Compliance/03_Regulatory_Crosswalk.html" TargetMode="External"/><Relationship Id="rId925" Type="http://schemas.openxmlformats.org/officeDocument/2006/relationships/hyperlink" Target="https://nachi065.github.io/AI-Security-Wiki/19_Singapore_AI_Compliance/03_Regulatory_Crosswalk.html" TargetMode="External"/><Relationship Id="rId926" Type="http://schemas.openxmlformats.org/officeDocument/2006/relationships/hyperlink" Target="https://nachi065.github.io/AI-Security-Wiki/19_Singapore_AI_Compliance/03_Regulatory_Crosswalk.html" TargetMode="External"/><Relationship Id="rId927" Type="http://schemas.openxmlformats.org/officeDocument/2006/relationships/hyperlink" Target="https://nachi065.github.io/AI-Security-Wiki/19_Singapore_AI_Compliance/03_Regulatory_Crosswalk.html" TargetMode="External"/><Relationship Id="rId928" Type="http://schemas.openxmlformats.org/officeDocument/2006/relationships/hyperlink" Target="https://nachi065.github.io/AI-Security-Wiki/19_Singapore_AI_Compliance/03_Regulatory_Crosswalk.html" TargetMode="External"/><Relationship Id="rId929" Type="http://schemas.openxmlformats.org/officeDocument/2006/relationships/hyperlink" Target="https://nachi065.github.io/AI-Security-Wiki/19_Singapore_AI_Compliance/03_Regulatory_Crosswalk.html" TargetMode="External"/><Relationship Id="rId930" Type="http://schemas.openxmlformats.org/officeDocument/2006/relationships/hyperlink" Target="https://nachi065.github.io/AI-Security-Wiki/19_Singapore_AI_Compliance/03_Regulatory_Crosswalk.html" TargetMode="External"/><Relationship Id="rId931" Type="http://schemas.openxmlformats.org/officeDocument/2006/relationships/hyperlink" Target="https://nachi065.github.io/AI-Security-Wiki/19_Singapore_AI_Compliance/03_Regulatory_Crosswalk.html" TargetMode="External"/><Relationship Id="rId932" Type="http://schemas.openxmlformats.org/officeDocument/2006/relationships/hyperlink" Target="https://nachi065.github.io/AI-Security-Wiki/19_Singapore_AI_Compliance/03_Regulatory_Crosswalk.html" TargetMode="External"/><Relationship Id="rId933" Type="http://schemas.openxmlformats.org/officeDocument/2006/relationships/hyperlink" Target="https://nachi065.github.io/AI-Security-Wiki/19_Singapore_AI_Compliance/03_Regulatory_Crosswalk.html" TargetMode="External"/><Relationship Id="rId934" Type="http://schemas.openxmlformats.org/officeDocument/2006/relationships/hyperlink" Target="https://nachi065.github.io/AI-Security-Wiki/19_Singapore_AI_Compliance/03_Regulatory_Crosswalk.html" TargetMode="External"/><Relationship Id="rId935" Type="http://schemas.openxmlformats.org/officeDocument/2006/relationships/hyperlink" Target="https://nachi065.github.io/AI-Security-Wiki/19_Singapore_AI_Compliance/03_Regulatory_Crosswalk.html" TargetMode="External"/><Relationship Id="rId936" Type="http://schemas.openxmlformats.org/officeDocument/2006/relationships/hyperlink" Target="https://nachi065.github.io/AI-Security-Wiki/19_Singapore_AI_Compliance/03_Regulatory_Crosswalk.html" TargetMode="External"/><Relationship Id="rId937" Type="http://schemas.openxmlformats.org/officeDocument/2006/relationships/hyperlink" Target="https://nachi065.github.io/AI-Security-Wiki/19_Singapore_AI_Compliance/03_Regulatory_Crosswalk.html" TargetMode="External"/><Relationship Id="rId938" Type="http://schemas.openxmlformats.org/officeDocument/2006/relationships/hyperlink" Target="https://nachi065.github.io/AI-Security-Wiki/19_Singapore_AI_Compliance/03_Regulatory_Crosswalk.html" TargetMode="External"/><Relationship Id="rId939" Type="http://schemas.openxmlformats.org/officeDocument/2006/relationships/hyperlink" Target="https://nachi065.github.io/AI-Security-Wiki/19_Singapore_AI_Compliance/03_Regulatory_Crosswalk.html" TargetMode="External"/><Relationship Id="rId940" Type="http://schemas.openxmlformats.org/officeDocument/2006/relationships/hyperlink" Target="https://nachi065.github.io/AI-Security-Wiki/19_Singapore_AI_Compliance/03_Regulatory_Crosswalk.html" TargetMode="External"/><Relationship Id="rId941" Type="http://schemas.openxmlformats.org/officeDocument/2006/relationships/hyperlink" Target="https://nachi065.github.io/AI-Security-Wiki/19_Singapore_AI_Compliance/03_Regulatory_Crosswalk.html" TargetMode="External"/><Relationship Id="rId942" Type="http://schemas.openxmlformats.org/officeDocument/2006/relationships/hyperlink" Target="https://nachi065.github.io/AI-Security-Wiki/19_Singapore_AI_Compliance/03_Regulatory_Crosswalk.html" TargetMode="External"/><Relationship Id="rId943" Type="http://schemas.openxmlformats.org/officeDocument/2006/relationships/hyperlink" Target="https://nachi065.github.io/AI-Security-Wiki/19_Singapore_AI_Compliance/03_Regulatory_Crosswalk.html" TargetMode="External"/><Relationship Id="rId944" Type="http://schemas.openxmlformats.org/officeDocument/2006/relationships/hyperlink" Target="https://nachi065.github.io/AI-Security-Wiki/19_Singapore_AI_Compliance/03_Regulatory_Crosswalk.html" TargetMode="External"/><Relationship Id="rId945" Type="http://schemas.openxmlformats.org/officeDocument/2006/relationships/hyperlink" Target="https://nachi065.github.io/AI-Security-Wiki/19_Singapore_AI_Compliance/03_Regulatory_Crosswalk.html" TargetMode="External"/><Relationship Id="rId946" Type="http://schemas.openxmlformats.org/officeDocument/2006/relationships/hyperlink" Target="https://nachi065.github.io/AI-Security-Wiki/19_Singapore_AI_Compliance/03_Regulatory_Crosswalk.html" TargetMode="External"/><Relationship Id="rId947" Type="http://schemas.openxmlformats.org/officeDocument/2006/relationships/hyperlink" Target="https://nachi065.github.io/AI-Security-Wiki/19_Singapore_AI_Compliance/03_Regulatory_Crosswalk.html" TargetMode="External"/><Relationship Id="rId948" Type="http://schemas.openxmlformats.org/officeDocument/2006/relationships/hyperlink" Target="https://nachi065.github.io/AI-Security-Wiki/20_South_Korea_AI_Compliance/03_Regulatory_Crosswalk.html" TargetMode="External"/><Relationship Id="rId949" Type="http://schemas.openxmlformats.org/officeDocument/2006/relationships/hyperlink" Target="https://nachi065.github.io/AI-Security-Wiki/20_South_Korea_AI_Compliance/03_Regulatory_Crosswalk.html" TargetMode="External"/><Relationship Id="rId950" Type="http://schemas.openxmlformats.org/officeDocument/2006/relationships/hyperlink" Target="https://nachi065.github.io/AI-Security-Wiki/20_South_Korea_AI_Compliance/03_Regulatory_Crosswalk.html" TargetMode="External"/><Relationship Id="rId951" Type="http://schemas.openxmlformats.org/officeDocument/2006/relationships/hyperlink" Target="https://nachi065.github.io/AI-Security-Wiki/20_South_Korea_AI_Compliance/03_Regulatory_Crosswalk.html" TargetMode="External"/><Relationship Id="rId952" Type="http://schemas.openxmlformats.org/officeDocument/2006/relationships/hyperlink" Target="https://nachi065.github.io/AI-Security-Wiki/20_South_Korea_AI_Compliance/03_Regulatory_Crosswalk.html" TargetMode="External"/><Relationship Id="rId953" Type="http://schemas.openxmlformats.org/officeDocument/2006/relationships/hyperlink" Target="https://nachi065.github.io/AI-Security-Wiki/20_South_Korea_AI_Compliance/03_Regulatory_Crosswalk.html" TargetMode="External"/><Relationship Id="rId954" Type="http://schemas.openxmlformats.org/officeDocument/2006/relationships/hyperlink" Target="https://nachi065.github.io/AI-Security-Wiki/20_South_Korea_AI_Compliance/03_Regulatory_Crosswalk.html" TargetMode="External"/><Relationship Id="rId955" Type="http://schemas.openxmlformats.org/officeDocument/2006/relationships/hyperlink" Target="https://nachi065.github.io/AI-Security-Wiki/20_South_Korea_AI_Compliance/03_Regulatory_Crosswalk.html" TargetMode="External"/><Relationship Id="rId956" Type="http://schemas.openxmlformats.org/officeDocument/2006/relationships/hyperlink" Target="https://nachi065.github.io/AI-Security-Wiki/26_Hong_Kong_AI_Compliance/03_Regulatory_Crosswalk.html" TargetMode="External"/><Relationship Id="rId957" Type="http://schemas.openxmlformats.org/officeDocument/2006/relationships/hyperlink" Target="https://nachi065.github.io/AI-Security-Wiki/26_Hong_Kong_AI_Compliance/03_Regulatory_Crosswalk.html" TargetMode="External"/><Relationship Id="rId958" Type="http://schemas.openxmlformats.org/officeDocument/2006/relationships/hyperlink" Target="https://nachi065.github.io/AI-Security-Wiki/26_Hong_Kong_AI_Compliance/03_Regulatory_Crosswalk.html" TargetMode="External"/><Relationship Id="rId959" Type="http://schemas.openxmlformats.org/officeDocument/2006/relationships/hyperlink" Target="https://nachi065.github.io/AI-Security-Wiki/26_Hong_Kong_AI_Compliance/03_Regulatory_Crosswalk.html" TargetMode="External"/><Relationship Id="rId960" Type="http://schemas.openxmlformats.org/officeDocument/2006/relationships/hyperlink" Target="https://nachi065.github.io/AI-Security-Wiki/26_Hong_Kong_AI_Compliance/03_Regulatory_Crosswalk.html" TargetMode="External"/><Relationship Id="rId961" Type="http://schemas.openxmlformats.org/officeDocument/2006/relationships/hyperlink" Target="https://nachi065.github.io/AI-Security-Wiki/26_Hong_Kong_AI_Compliance/03_Regulatory_Crosswalk.html" TargetMode="External"/><Relationship Id="rId962" Type="http://schemas.openxmlformats.org/officeDocument/2006/relationships/hyperlink" Target="https://nachi065.github.io/AI-Security-Wiki/26_Hong_Kong_AI_Compliance/03_Regulatory_Crosswalk.html" TargetMode="External"/><Relationship Id="rId963" Type="http://schemas.openxmlformats.org/officeDocument/2006/relationships/hyperlink" Target="https://nachi065.github.io/AI-Security-Wiki/26_Hong_Kong_AI_Compliance/03_Regulatory_Crosswalk.html" TargetMode="External"/><Relationship Id="rId964" Type="http://schemas.openxmlformats.org/officeDocument/2006/relationships/hyperlink" Target="https://nachi065.github.io/AI-Security-Wiki/26_Hong_Kong_AI_Compliance/03_Regulatory_Crosswalk.html" TargetMode="External"/><Relationship Id="rId965" Type="http://schemas.openxmlformats.org/officeDocument/2006/relationships/hyperlink" Target="https://nachi065.github.io/AI-Security-Wiki/26_Hong_Kong_AI_Compliance/03_Regulatory_Crosswalk.html" TargetMode="External"/><Relationship Id="rId966" Type="http://schemas.openxmlformats.org/officeDocument/2006/relationships/hyperlink" Target="https://nachi065.github.io/AI-Security-Wiki/26_Hong_Kong_AI_Compliance/03_Regulatory_Crosswalk.html" TargetMode="External"/><Relationship Id="rId967" Type="http://schemas.openxmlformats.org/officeDocument/2006/relationships/hyperlink" Target="https://nachi065.github.io/AI-Security-Wiki/26_Hong_Kong_AI_Compliance/03_Regulatory_Crosswalk.html" TargetMode="External"/><Relationship Id="rId968" Type="http://schemas.openxmlformats.org/officeDocument/2006/relationships/hyperlink" Target="https://nachi065.github.io/AI-Security-Wiki/26_Hong_Kong_AI_Compliance/03_Regulatory_Crosswalk.html" TargetMode="External"/><Relationship Id="rId969" Type="http://schemas.openxmlformats.org/officeDocument/2006/relationships/hyperlink" Target="https://nachi065.github.io/AI-Security-Wiki/26_Hong_Kong_AI_Compliance/03_Regulatory_Crosswalk.html" TargetMode="External"/><Relationship Id="rId970" Type="http://schemas.openxmlformats.org/officeDocument/2006/relationships/hyperlink" Target="https://nachi065.github.io/AI-Security-Wiki/26_Hong_Kong_AI_Compliance/03_Regulatory_Crosswalk.html" TargetMode="External"/><Relationship Id="rId971" Type="http://schemas.openxmlformats.org/officeDocument/2006/relationships/hyperlink" Target="https://nachi065.github.io/AI-Security-Wiki/26_Hong_Kong_AI_Compliance/03_Regulatory_Crosswalk.html" TargetMode="External"/><Relationship Id="rId972" Type="http://schemas.openxmlformats.org/officeDocument/2006/relationships/hyperlink" Target="https://nachi065.github.io/AI-Security-Wiki/26_Hong_Kong_AI_Compliance/03_Regulatory_Crosswalk.html" TargetMode="External"/><Relationship Id="rId973" Type="http://schemas.openxmlformats.org/officeDocument/2006/relationships/hyperlink" Target="https://nachi065.github.io/AI-Security-Wiki/26_Hong_Kong_AI_Compliance/03_Regulatory_Crosswalk.html" TargetMode="External"/><Relationship Id="rId974"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B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0"/>
  </cols>
  <sheetData>
    <row r="1" customFormat="false" ht="30" hidden="false" customHeight="true" outlineLevel="0" collapsed="false">
      <c r="A1" s="1" t="s">
        <v>0</v>
      </c>
      <c r="B1" s="2"/>
    </row>
    <row r="2" customFormat="false" ht="15" hidden="false" customHeight="false" outlineLevel="0" collapsed="false">
      <c r="A2" s="3" t="s">
        <v>1</v>
      </c>
    </row>
    <row r="4" customFormat="false" ht="15" hidden="false" customHeight="false" outlineLevel="0" collapsed="false">
      <c r="A4" s="4" t="s">
        <v>2</v>
      </c>
      <c r="B4" s="2"/>
    </row>
    <row r="5" customFormat="false" ht="23.85" hidden="false" customHeight="false" outlineLevel="0" collapsed="false">
      <c r="A5" s="5" t="s">
        <v>3</v>
      </c>
      <c r="B5" s="6" t="s">
        <v>4</v>
      </c>
    </row>
    <row r="6" customFormat="false" ht="35.05" hidden="false" customHeight="false" outlineLevel="0" collapsed="false">
      <c r="A6" s="7" t="s">
        <v>5</v>
      </c>
      <c r="B6" s="8" t="s">
        <v>6</v>
      </c>
    </row>
    <row r="7" customFormat="false" ht="23.85" hidden="false" customHeight="false" outlineLevel="0" collapsed="false">
      <c r="A7" s="5" t="s">
        <v>7</v>
      </c>
      <c r="B7" s="6" t="s">
        <v>8</v>
      </c>
    </row>
    <row r="8" customFormat="false" ht="23.85" hidden="false" customHeight="false" outlineLevel="0" collapsed="false">
      <c r="A8" s="7" t="s">
        <v>9</v>
      </c>
      <c r="B8" s="8" t="s">
        <v>10</v>
      </c>
    </row>
    <row r="10" customFormat="false" ht="15" hidden="false" customHeight="false" outlineLevel="0" collapsed="false">
      <c r="A10" s="4" t="s">
        <v>11</v>
      </c>
      <c r="B10" s="2"/>
    </row>
    <row r="11" customFormat="false" ht="15" hidden="false" customHeight="false" outlineLevel="0" collapsed="false">
      <c r="A11" s="5" t="s">
        <v>12</v>
      </c>
      <c r="B11" s="6" t="s">
        <v>13</v>
      </c>
    </row>
    <row r="12" customFormat="false" ht="15" hidden="false" customHeight="false" outlineLevel="0" collapsed="false">
      <c r="A12" s="7" t="s">
        <v>14</v>
      </c>
      <c r="B12" s="8" t="s">
        <v>15</v>
      </c>
    </row>
    <row r="13" customFormat="false" ht="15" hidden="false" customHeight="false" outlineLevel="0" collapsed="false">
      <c r="A13" s="5" t="s">
        <v>16</v>
      </c>
      <c r="B13" s="6" t="s">
        <v>17</v>
      </c>
    </row>
    <row r="14" customFormat="false" ht="15" hidden="false" customHeight="false" outlineLevel="0" collapsed="false">
      <c r="A14" s="7" t="s">
        <v>18</v>
      </c>
      <c r="B14" s="8" t="s">
        <v>19</v>
      </c>
    </row>
    <row r="15" customFormat="false" ht="15" hidden="false" customHeight="false" outlineLevel="0" collapsed="false">
      <c r="A15" s="5" t="s">
        <v>20</v>
      </c>
      <c r="B15" s="6" t="s">
        <v>21</v>
      </c>
    </row>
    <row r="16" customFormat="false" ht="15" hidden="false" customHeight="false" outlineLevel="0" collapsed="false">
      <c r="A16" s="7" t="s">
        <v>22</v>
      </c>
      <c r="B16" s="8" t="s">
        <v>23</v>
      </c>
    </row>
    <row r="18" customFormat="false" ht="15" hidden="false" customHeight="false" outlineLevel="0" collapsed="false">
      <c r="A18" s="4" t="s">
        <v>24</v>
      </c>
      <c r="B18" s="2"/>
    </row>
    <row r="19" customFormat="false" ht="15" hidden="false" customHeight="false" outlineLevel="0" collapsed="false">
      <c r="A19" s="5" t="s">
        <v>25</v>
      </c>
      <c r="B19" s="6" t="s">
        <v>26</v>
      </c>
    </row>
    <row r="20" customFormat="false" ht="15" hidden="false" customHeight="false" outlineLevel="0" collapsed="false">
      <c r="A20" s="7" t="s">
        <v>27</v>
      </c>
      <c r="B20" s="8" t="s">
        <v>28</v>
      </c>
    </row>
    <row r="21" customFormat="false" ht="15" hidden="false" customHeight="false" outlineLevel="0" collapsed="false">
      <c r="A21" s="5" t="s">
        <v>29</v>
      </c>
      <c r="B21" s="6" t="s">
        <v>30</v>
      </c>
    </row>
    <row r="22" customFormat="false" ht="15" hidden="false" customHeight="false" outlineLevel="0" collapsed="false">
      <c r="A22" s="7" t="s">
        <v>31</v>
      </c>
      <c r="B22" s="8" t="s">
        <v>32</v>
      </c>
    </row>
    <row r="24" customFormat="false" ht="15" hidden="false" customHeight="false" outlineLevel="0" collapsed="false">
      <c r="A24" s="4" t="s">
        <v>33</v>
      </c>
      <c r="B24" s="2"/>
    </row>
    <row r="25" customFormat="false" ht="15" hidden="false" customHeight="false" outlineLevel="0" collapsed="false">
      <c r="A25" s="5" t="s">
        <v>34</v>
      </c>
      <c r="B25" s="6" t="s">
        <v>35</v>
      </c>
    </row>
    <row r="26" customFormat="false" ht="15" hidden="false" customHeight="false" outlineLevel="0" collapsed="false">
      <c r="A26" s="7" t="s">
        <v>36</v>
      </c>
      <c r="B26" s="8" t="s">
        <v>37</v>
      </c>
    </row>
    <row r="27" customFormat="false" ht="15" hidden="false" customHeight="false" outlineLevel="0" collapsed="false">
      <c r="A27" s="5" t="s">
        <v>38</v>
      </c>
      <c r="B27" s="6" t="s">
        <v>39</v>
      </c>
    </row>
    <row r="28" customFormat="false" ht="15" hidden="false" customHeight="false" outlineLevel="0" collapsed="false">
      <c r="A28" s="7" t="s">
        <v>40</v>
      </c>
      <c r="B28" s="8" t="s">
        <v>41</v>
      </c>
    </row>
    <row r="29" customFormat="false" ht="15" hidden="false" customHeight="false" outlineLevel="0" collapsed="false">
      <c r="A29" s="5" t="s">
        <v>42</v>
      </c>
      <c r="B29" s="6" t="s">
        <v>43</v>
      </c>
    </row>
    <row r="30" customFormat="false" ht="15" hidden="false" customHeight="false" outlineLevel="0" collapsed="false">
      <c r="A30" s="7" t="s">
        <v>44</v>
      </c>
      <c r="B30" s="8" t="s">
        <v>45</v>
      </c>
    </row>
    <row r="31" customFormat="false" ht="15" hidden="false" customHeight="false" outlineLevel="0" collapsed="false">
      <c r="A31" s="5" t="s">
        <v>46</v>
      </c>
      <c r="B31" s="6" t="s">
        <v>47</v>
      </c>
    </row>
    <row r="32" customFormat="false" ht="15" hidden="false" customHeight="false" outlineLevel="0" collapsed="false">
      <c r="A32" s="7" t="s">
        <v>48</v>
      </c>
      <c r="B32" s="8" t="s">
        <v>49</v>
      </c>
    </row>
    <row r="34" customFormat="false" ht="15" hidden="false" customHeight="false" outlineLevel="0" collapsed="false">
      <c r="A34" s="4" t="s">
        <v>50</v>
      </c>
      <c r="B34" s="2"/>
    </row>
    <row r="35" customFormat="false" ht="15" hidden="false" customHeight="false" outlineLevel="0" collapsed="false">
      <c r="A35" s="5" t="s">
        <v>51</v>
      </c>
      <c r="B35" s="9" t="s">
        <v>52</v>
      </c>
    </row>
    <row r="36" customFormat="false" ht="15" hidden="false" customHeight="false" outlineLevel="0" collapsed="false">
      <c r="A36" s="7" t="s">
        <v>53</v>
      </c>
      <c r="B36" s="10" t="s">
        <v>54</v>
      </c>
    </row>
    <row r="37" customFormat="false" ht="15" hidden="false" customHeight="false" outlineLevel="0" collapsed="false">
      <c r="A37" s="5" t="s">
        <v>55</v>
      </c>
      <c r="B37" s="9" t="s">
        <v>56</v>
      </c>
    </row>
    <row r="38" customFormat="false" ht="15" hidden="false" customHeight="false" outlineLevel="0" collapsed="false">
      <c r="A38" s="7" t="s">
        <v>57</v>
      </c>
      <c r="B38" s="10" t="s">
        <v>58</v>
      </c>
    </row>
    <row r="39" customFormat="false" ht="15" hidden="false" customHeight="false" outlineLevel="0" collapsed="false">
      <c r="A39" s="5" t="s">
        <v>59</v>
      </c>
      <c r="B39" s="9" t="s">
        <v>60</v>
      </c>
    </row>
    <row r="41" customFormat="false" ht="27.75" hidden="false" customHeight="true" outlineLevel="0" collapsed="false">
      <c r="A41" s="11" t="s">
        <v>61</v>
      </c>
      <c r="B41" s="11"/>
    </row>
  </sheetData>
  <mergeCells count="1">
    <mergeCell ref="A41:B41"/>
  </mergeCells>
  <hyperlinks>
    <hyperlink ref="B35" r:id="rId1" display="https://nachi065.github.io/AI-Security-Wiki/03_Control_Library/03_AI_Security_Control_Objectives_Library.html"/>
    <hyperlink ref="B36" r:id="rId2" display="https://nachi065.github.io/AI-Security-Wiki/03_Control_Library/06_Control_Tiers.html"/>
    <hyperlink ref="B37" r:id="rId3" display="https://nachi065.github.io/AI-Security-Wiki/02_Risk_Management/02D_AI_Risk_to_Control_Mapping.html"/>
    <hyperlink ref="B38" r:id="rId4" display="https://nachi065.github.io/AI-Security-Wiki/23_Framework_Crosswalks/index.html"/>
    <hyperlink ref="B39" r:id="rId5" display="https://nachi065.github.io/AI-Security-Wiki/06_Testing_and_Assurance/13_AI_Security_PoC_Test_Case_Library.html"/>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B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0"/>
  </cols>
  <sheetData>
    <row r="1" customFormat="false" ht="30" hidden="false" customHeight="true" outlineLevel="0" collapsed="false">
      <c r="A1" s="12" t="s">
        <v>48</v>
      </c>
      <c r="B1" s="13"/>
    </row>
    <row r="2" customFormat="false" ht="15" hidden="false" customHeight="false" outlineLevel="0" collapsed="false">
      <c r="A2" s="3" t="s">
        <v>62</v>
      </c>
    </row>
    <row r="4" customFormat="false" ht="15" hidden="false" customHeight="false" outlineLevel="0" collapsed="false">
      <c r="A4" s="14" t="s">
        <v>63</v>
      </c>
      <c r="B4" s="13"/>
    </row>
    <row r="5" customFormat="false" ht="15" hidden="false" customHeight="false" outlineLevel="0" collapsed="false">
      <c r="A5" s="5" t="s">
        <v>64</v>
      </c>
      <c r="B5" s="6" t="s">
        <v>0</v>
      </c>
    </row>
    <row r="6" customFormat="false" ht="15" hidden="false" customHeight="false" outlineLevel="0" collapsed="false">
      <c r="A6" s="5" t="s">
        <v>65</v>
      </c>
      <c r="B6" s="6" t="s">
        <v>66</v>
      </c>
    </row>
    <row r="7" customFormat="false" ht="23.85" hidden="false" customHeight="false" outlineLevel="0" collapsed="false">
      <c r="A7" s="5" t="s">
        <v>48</v>
      </c>
      <c r="B7" s="6" t="s">
        <v>67</v>
      </c>
    </row>
    <row r="8" customFormat="false" ht="15" hidden="false" customHeight="false" outlineLevel="0" collapsed="false">
      <c r="A8" s="5" t="s">
        <v>68</v>
      </c>
      <c r="B8" s="9" t="s">
        <v>69</v>
      </c>
    </row>
    <row r="9" customFormat="false" ht="15" hidden="false" customHeight="false" outlineLevel="0" collapsed="false">
      <c r="A9" s="5" t="s">
        <v>70</v>
      </c>
      <c r="B9" s="9" t="s">
        <v>71</v>
      </c>
    </row>
    <row r="10" customFormat="false" ht="15" hidden="false" customHeight="false" outlineLevel="0" collapsed="false">
      <c r="A10" s="5" t="s">
        <v>72</v>
      </c>
      <c r="B10" s="9" t="s">
        <v>73</v>
      </c>
    </row>
    <row r="11" customFormat="false" ht="15" hidden="false" customHeight="false" outlineLevel="0" collapsed="false">
      <c r="A11" s="5" t="s">
        <v>74</v>
      </c>
      <c r="B11" s="9" t="s">
        <v>75</v>
      </c>
    </row>
    <row r="13" customFormat="false" ht="15" hidden="false" customHeight="false" outlineLevel="0" collapsed="false">
      <c r="A13" s="14" t="s">
        <v>76</v>
      </c>
      <c r="B13" s="13"/>
    </row>
    <row r="14" customFormat="false" ht="23.85" hidden="false" customHeight="false" outlineLevel="0" collapsed="false">
      <c r="A14" s="5" t="s">
        <v>77</v>
      </c>
      <c r="B14" s="6" t="s">
        <v>78</v>
      </c>
    </row>
    <row r="15" customFormat="false" ht="35.05" hidden="false" customHeight="false" outlineLevel="0" collapsed="false">
      <c r="A15" s="5" t="s">
        <v>79</v>
      </c>
      <c r="B15" s="6" t="s">
        <v>80</v>
      </c>
    </row>
    <row r="16" customFormat="false" ht="23.85" hidden="false" customHeight="false" outlineLevel="0" collapsed="false">
      <c r="A16" s="5" t="s">
        <v>81</v>
      </c>
      <c r="B16" s="6" t="s">
        <v>82</v>
      </c>
    </row>
    <row r="18" customFormat="false" ht="15" hidden="false" customHeight="false" outlineLevel="0" collapsed="false">
      <c r="A18" s="14" t="s">
        <v>83</v>
      </c>
      <c r="B18" s="13"/>
    </row>
    <row r="19" customFormat="false" ht="23.85" hidden="false" customHeight="false" outlineLevel="0" collapsed="false">
      <c r="A19" s="5" t="s">
        <v>84</v>
      </c>
      <c r="B19" s="6" t="s">
        <v>85</v>
      </c>
    </row>
    <row r="20" customFormat="false" ht="15" hidden="false" customHeight="false" outlineLevel="0" collapsed="false">
      <c r="A20" s="5" t="s">
        <v>86</v>
      </c>
      <c r="B20" s="6" t="s">
        <v>87</v>
      </c>
    </row>
    <row r="22" customFormat="false" ht="15" hidden="false" customHeight="false" outlineLevel="0" collapsed="false">
      <c r="A22" s="14" t="s">
        <v>88</v>
      </c>
      <c r="B22" s="13"/>
    </row>
    <row r="23" customFormat="false" ht="35.05" hidden="false" customHeight="false" outlineLevel="0" collapsed="false">
      <c r="A23" s="5" t="s">
        <v>89</v>
      </c>
      <c r="B23" s="6" t="s">
        <v>90</v>
      </c>
    </row>
    <row r="25" customFormat="false" ht="15" hidden="false" customHeight="false" outlineLevel="0" collapsed="false">
      <c r="A25" s="14" t="s">
        <v>91</v>
      </c>
      <c r="B25" s="13"/>
    </row>
    <row r="26" customFormat="false" ht="35.05" hidden="false" customHeight="false" outlineLevel="0" collapsed="false">
      <c r="A26" s="5" t="s">
        <v>92</v>
      </c>
      <c r="B26" s="6" t="s">
        <v>93</v>
      </c>
    </row>
    <row r="27" customFormat="false" ht="35.05" hidden="false" customHeight="false" outlineLevel="0" collapsed="false">
      <c r="A27" s="5" t="s">
        <v>94</v>
      </c>
      <c r="B27" s="6" t="s">
        <v>95</v>
      </c>
    </row>
    <row r="28" customFormat="false" ht="23.85" hidden="false" customHeight="false" outlineLevel="0" collapsed="false">
      <c r="A28" s="5" t="s">
        <v>96</v>
      </c>
      <c r="B28" s="6" t="s">
        <v>97</v>
      </c>
    </row>
    <row r="29" customFormat="false" ht="15" hidden="false" customHeight="false" outlineLevel="0" collapsed="false">
      <c r="A29" s="5" t="s">
        <v>98</v>
      </c>
      <c r="B29" s="6" t="s">
        <v>99</v>
      </c>
    </row>
  </sheetData>
  <hyperlinks>
    <hyperlink ref="B8" r:id="rId1" display="https://creativecommons.org/licenses/by-sa/4.0/"/>
    <hyperlink ref="B9" r:id="rId2" display="https://creativecommons.org/licenses/by-sa/4.0/legalcode.en"/>
    <hyperlink ref="B10" r:id="rId3" display="https://nachi065.github.io/AI-Security-Wiki/"/>
    <hyperlink ref="B11" r:id="rId4" display="https://github.com/nachi065/AI-Security-Wiki"/>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48235"/>
    <pageSetUpPr fitToPage="true"/>
  </sheetPr>
  <dimension ref="A1:H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3" min="2" style="0" width="12"/>
    <col collapsed="false" customWidth="true" hidden="false" outlineLevel="0" max="4" min="4" style="0" width="14"/>
    <col collapsed="false" customWidth="true" hidden="false" outlineLevel="0" max="6" min="5" style="0" width="12"/>
    <col collapsed="false" customWidth="true" hidden="false" outlineLevel="0" max="7" min="7" style="0" width="4"/>
    <col collapsed="false" customWidth="true" hidden="false" outlineLevel="0" max="8" min="8" style="0" width="14"/>
  </cols>
  <sheetData>
    <row r="1" customFormat="false" ht="30" hidden="false" customHeight="true" outlineLevel="0" collapsed="false">
      <c r="A1" s="15" t="s">
        <v>100</v>
      </c>
      <c r="B1" s="16"/>
      <c r="C1" s="16"/>
      <c r="D1" s="16"/>
      <c r="E1" s="16"/>
      <c r="F1" s="16"/>
      <c r="G1" s="16"/>
      <c r="H1" s="16"/>
    </row>
    <row r="2" customFormat="false" ht="15" hidden="false" customHeight="false" outlineLevel="0" collapsed="false">
      <c r="A2" s="3" t="s">
        <v>101</v>
      </c>
    </row>
    <row r="4" customFormat="false" ht="23.85" hidden="false" customHeight="false" outlineLevel="0" collapsed="false">
      <c r="A4" s="17" t="s">
        <v>102</v>
      </c>
      <c r="B4" s="18" t="s">
        <v>103</v>
      </c>
      <c r="C4" s="19" t="s">
        <v>104</v>
      </c>
      <c r="D4" s="20" t="s">
        <v>105</v>
      </c>
      <c r="E4" s="21" t="s">
        <v>106</v>
      </c>
      <c r="F4" s="22" t="s">
        <v>107</v>
      </c>
    </row>
    <row r="5" customFormat="false" ht="15" hidden="false" customHeight="false" outlineLevel="0" collapsed="false">
      <c r="A5" s="23" t="s">
        <v>108</v>
      </c>
      <c r="B5" s="24" t="n">
        <f aca="false">COUNTIFS('Control Library'!$D$5:$D$50,A5,'Control Library'!$R$5:$R$50,"Not started")</f>
        <v>0</v>
      </c>
      <c r="C5" s="24" t="n">
        <f aca="false">COUNTIFS('Control Library'!$D$5:$D$50,A5,'Control Library'!$R$5:$R$50,"Planned")</f>
        <v>0</v>
      </c>
      <c r="D5" s="24" t="n">
        <f aca="false">COUNTIFS('Control Library'!$D$5:$D$50,A5,'Control Library'!$R$5:$R$50,"Partially implemented")</f>
        <v>0</v>
      </c>
      <c r="E5" s="24" t="n">
        <f aca="false">COUNTIFS('Control Library'!$D$5:$D$50,A5,'Control Library'!$R$5:$R$50,"Implemented")</f>
        <v>0</v>
      </c>
      <c r="F5" s="24" t="n">
        <f aca="false">COUNTIFS('Control Library'!$D$5:$D$50,A5,'Control Library'!$R$5:$R$50,"Not applicable")</f>
        <v>0</v>
      </c>
    </row>
    <row r="6" customFormat="false" ht="15" hidden="false" customHeight="false" outlineLevel="0" collapsed="false">
      <c r="A6" s="25" t="s">
        <v>109</v>
      </c>
      <c r="B6" s="24" t="n">
        <f aca="false">COUNTIFS('Control Library'!$D$5:$D$50,A6,'Control Library'!$R$5:$R$50,"Not started")</f>
        <v>0</v>
      </c>
      <c r="C6" s="24" t="n">
        <f aca="false">COUNTIFS('Control Library'!$D$5:$D$50,A6,'Control Library'!$R$5:$R$50,"Planned")</f>
        <v>0</v>
      </c>
      <c r="D6" s="24" t="n">
        <f aca="false">COUNTIFS('Control Library'!$D$5:$D$50,A6,'Control Library'!$R$5:$R$50,"Partially implemented")</f>
        <v>0</v>
      </c>
      <c r="E6" s="24" t="n">
        <f aca="false">COUNTIFS('Control Library'!$D$5:$D$50,A6,'Control Library'!$R$5:$R$50,"Implemented")</f>
        <v>0</v>
      </c>
      <c r="F6" s="24" t="n">
        <f aca="false">COUNTIFS('Control Library'!$D$5:$D$50,A6,'Control Library'!$R$5:$R$50,"Not applicable")</f>
        <v>0</v>
      </c>
    </row>
    <row r="7" customFormat="false" ht="15" hidden="false" customHeight="false" outlineLevel="0" collapsed="false">
      <c r="A7" s="5" t="s">
        <v>110</v>
      </c>
      <c r="B7" s="24" t="n">
        <f aca="false">COUNTBLANK('Control Library'!$R$5:$R$50)</f>
        <v>46</v>
      </c>
    </row>
    <row r="9" customFormat="false" ht="23.85" hidden="false" customHeight="false" outlineLevel="0" collapsed="false">
      <c r="A9" s="17" t="s">
        <v>111</v>
      </c>
      <c r="B9" s="18" t="s">
        <v>103</v>
      </c>
      <c r="C9" s="19" t="s">
        <v>104</v>
      </c>
      <c r="D9" s="20" t="s">
        <v>105</v>
      </c>
      <c r="E9" s="21" t="s">
        <v>106</v>
      </c>
      <c r="F9" s="22" t="s">
        <v>107</v>
      </c>
    </row>
    <row r="10" customFormat="false" ht="15" hidden="false" customHeight="false" outlineLevel="0" collapsed="false">
      <c r="A10" s="5" t="s">
        <v>112</v>
      </c>
      <c r="B10" s="26" t="n">
        <f aca="false">COUNTIFS('Control Library'!$C$5:$C$50,A10,'Control Library'!$R$5:$R$50,"Not started")</f>
        <v>0</v>
      </c>
      <c r="C10" s="26" t="n">
        <f aca="false">COUNTIFS('Control Library'!$C$5:$C$50,A10,'Control Library'!$R$5:$R$50,"Planned")</f>
        <v>0</v>
      </c>
      <c r="D10" s="26" t="n">
        <f aca="false">COUNTIFS('Control Library'!$C$5:$C$50,A10,'Control Library'!$R$5:$R$50,"Partially implemented")</f>
        <v>0</v>
      </c>
      <c r="E10" s="26" t="n">
        <f aca="false">COUNTIFS('Control Library'!$C$5:$C$50,A10,'Control Library'!$R$5:$R$50,"Implemented")</f>
        <v>0</v>
      </c>
      <c r="F10" s="26" t="n">
        <f aca="false">COUNTIFS('Control Library'!$C$5:$C$50,A10,'Control Library'!$R$5:$R$50,"Not applicable")</f>
        <v>0</v>
      </c>
    </row>
    <row r="11" customFormat="false" ht="15" hidden="false" customHeight="false" outlineLevel="0" collapsed="false">
      <c r="A11" s="5" t="s">
        <v>113</v>
      </c>
      <c r="B11" s="26" t="n">
        <f aca="false">COUNTIFS('Control Library'!$C$5:$C$50,A11,'Control Library'!$R$5:$R$50,"Not started")</f>
        <v>0</v>
      </c>
      <c r="C11" s="26" t="n">
        <f aca="false">COUNTIFS('Control Library'!$C$5:$C$50,A11,'Control Library'!$R$5:$R$50,"Planned")</f>
        <v>0</v>
      </c>
      <c r="D11" s="26" t="n">
        <f aca="false">COUNTIFS('Control Library'!$C$5:$C$50,A11,'Control Library'!$R$5:$R$50,"Partially implemented")</f>
        <v>0</v>
      </c>
      <c r="E11" s="26" t="n">
        <f aca="false">COUNTIFS('Control Library'!$C$5:$C$50,A11,'Control Library'!$R$5:$R$50,"Implemented")</f>
        <v>0</v>
      </c>
      <c r="F11" s="26" t="n">
        <f aca="false">COUNTIFS('Control Library'!$C$5:$C$50,A11,'Control Library'!$R$5:$R$50,"Not applicable")</f>
        <v>0</v>
      </c>
    </row>
    <row r="12" customFormat="false" ht="15" hidden="false" customHeight="false" outlineLevel="0" collapsed="false">
      <c r="A12" s="5" t="s">
        <v>114</v>
      </c>
      <c r="B12" s="26" t="n">
        <f aca="false">COUNTIFS('Control Library'!$C$5:$C$50,A12,'Control Library'!$R$5:$R$50,"Not started")</f>
        <v>0</v>
      </c>
      <c r="C12" s="26" t="n">
        <f aca="false">COUNTIFS('Control Library'!$C$5:$C$50,A12,'Control Library'!$R$5:$R$50,"Planned")</f>
        <v>0</v>
      </c>
      <c r="D12" s="26" t="n">
        <f aca="false">COUNTIFS('Control Library'!$C$5:$C$50,A12,'Control Library'!$R$5:$R$50,"Partially implemented")</f>
        <v>0</v>
      </c>
      <c r="E12" s="26" t="n">
        <f aca="false">COUNTIFS('Control Library'!$C$5:$C$50,A12,'Control Library'!$R$5:$R$50,"Implemented")</f>
        <v>0</v>
      </c>
      <c r="F12" s="26" t="n">
        <f aca="false">COUNTIFS('Control Library'!$C$5:$C$50,A12,'Control Library'!$R$5:$R$50,"Not applicable")</f>
        <v>0</v>
      </c>
    </row>
    <row r="13" customFormat="false" ht="15" hidden="false" customHeight="false" outlineLevel="0" collapsed="false">
      <c r="A13" s="5" t="s">
        <v>115</v>
      </c>
      <c r="B13" s="26" t="n">
        <f aca="false">COUNTIFS('Control Library'!$C$5:$C$50,A13,'Control Library'!$R$5:$R$50,"Not started")</f>
        <v>0</v>
      </c>
      <c r="C13" s="26" t="n">
        <f aca="false">COUNTIFS('Control Library'!$C$5:$C$50,A13,'Control Library'!$R$5:$R$50,"Planned")</f>
        <v>0</v>
      </c>
      <c r="D13" s="26" t="n">
        <f aca="false">COUNTIFS('Control Library'!$C$5:$C$50,A13,'Control Library'!$R$5:$R$50,"Partially implemented")</f>
        <v>0</v>
      </c>
      <c r="E13" s="26" t="n">
        <f aca="false">COUNTIFS('Control Library'!$C$5:$C$50,A13,'Control Library'!$R$5:$R$50,"Implemented")</f>
        <v>0</v>
      </c>
      <c r="F13" s="26" t="n">
        <f aca="false">COUNTIFS('Control Library'!$C$5:$C$50,A13,'Control Library'!$R$5:$R$50,"Not applicable")</f>
        <v>0</v>
      </c>
    </row>
    <row r="14" customFormat="false" ht="15" hidden="false" customHeight="false" outlineLevel="0" collapsed="false">
      <c r="A14" s="5" t="s">
        <v>116</v>
      </c>
      <c r="B14" s="26" t="n">
        <f aca="false">COUNTIFS('Control Library'!$C$5:$C$50,A14,'Control Library'!$R$5:$R$50,"Not started")</f>
        <v>0</v>
      </c>
      <c r="C14" s="26" t="n">
        <f aca="false">COUNTIFS('Control Library'!$C$5:$C$50,A14,'Control Library'!$R$5:$R$50,"Planned")</f>
        <v>0</v>
      </c>
      <c r="D14" s="26" t="n">
        <f aca="false">COUNTIFS('Control Library'!$C$5:$C$50,A14,'Control Library'!$R$5:$R$50,"Partially implemented")</f>
        <v>0</v>
      </c>
      <c r="E14" s="26" t="n">
        <f aca="false">COUNTIFS('Control Library'!$C$5:$C$50,A14,'Control Library'!$R$5:$R$50,"Implemented")</f>
        <v>0</v>
      </c>
      <c r="F14" s="26" t="n">
        <f aca="false">COUNTIFS('Control Library'!$C$5:$C$50,A14,'Control Library'!$R$5:$R$50,"Not applicable")</f>
        <v>0</v>
      </c>
    </row>
    <row r="15" customFormat="false" ht="15" hidden="false" customHeight="false" outlineLevel="0" collapsed="false">
      <c r="A15" s="5" t="s">
        <v>117</v>
      </c>
      <c r="B15" s="26" t="n">
        <f aca="false">COUNTIFS('Control Library'!$C$5:$C$50,A15,'Control Library'!$R$5:$R$50,"Not started")</f>
        <v>0</v>
      </c>
      <c r="C15" s="26" t="n">
        <f aca="false">COUNTIFS('Control Library'!$C$5:$C$50,A15,'Control Library'!$R$5:$R$50,"Planned")</f>
        <v>0</v>
      </c>
      <c r="D15" s="26" t="n">
        <f aca="false">COUNTIFS('Control Library'!$C$5:$C$50,A15,'Control Library'!$R$5:$R$50,"Partially implemented")</f>
        <v>0</v>
      </c>
      <c r="E15" s="26" t="n">
        <f aca="false">COUNTIFS('Control Library'!$C$5:$C$50,A15,'Control Library'!$R$5:$R$50,"Implemented")</f>
        <v>0</v>
      </c>
      <c r="F15" s="26" t="n">
        <f aca="false">COUNTIFS('Control Library'!$C$5:$C$50,A15,'Control Library'!$R$5:$R$50,"Not applicable")</f>
        <v>0</v>
      </c>
    </row>
    <row r="16" customFormat="false" ht="15" hidden="false" customHeight="false" outlineLevel="0" collapsed="false">
      <c r="A16" s="5" t="s">
        <v>118</v>
      </c>
      <c r="B16" s="26" t="n">
        <f aca="false">COUNTIFS('Control Library'!$C$5:$C$50,A16,'Control Library'!$R$5:$R$50,"Not started")</f>
        <v>0</v>
      </c>
      <c r="C16" s="26" t="n">
        <f aca="false">COUNTIFS('Control Library'!$C$5:$C$50,A16,'Control Library'!$R$5:$R$50,"Planned")</f>
        <v>0</v>
      </c>
      <c r="D16" s="26" t="n">
        <f aca="false">COUNTIFS('Control Library'!$C$5:$C$50,A16,'Control Library'!$R$5:$R$50,"Partially implemented")</f>
        <v>0</v>
      </c>
      <c r="E16" s="26" t="n">
        <f aca="false">COUNTIFS('Control Library'!$C$5:$C$50,A16,'Control Library'!$R$5:$R$50,"Implemented")</f>
        <v>0</v>
      </c>
      <c r="F16" s="26" t="n">
        <f aca="false">COUNTIFS('Control Library'!$C$5:$C$50,A16,'Control Library'!$R$5:$R$50,"Not applicable")</f>
        <v>0</v>
      </c>
    </row>
    <row r="17" customFormat="false" ht="15" hidden="false" customHeight="false" outlineLevel="0" collapsed="false">
      <c r="A17" s="5" t="s">
        <v>119</v>
      </c>
      <c r="B17" s="26" t="n">
        <f aca="false">COUNTIFS('Control Library'!$C$5:$C$50,A17,'Control Library'!$R$5:$R$50,"Not started")</f>
        <v>0</v>
      </c>
      <c r="C17" s="26" t="n">
        <f aca="false">COUNTIFS('Control Library'!$C$5:$C$50,A17,'Control Library'!$R$5:$R$50,"Planned")</f>
        <v>0</v>
      </c>
      <c r="D17" s="26" t="n">
        <f aca="false">COUNTIFS('Control Library'!$C$5:$C$50,A17,'Control Library'!$R$5:$R$50,"Partially implemented")</f>
        <v>0</v>
      </c>
      <c r="E17" s="26" t="n">
        <f aca="false">COUNTIFS('Control Library'!$C$5:$C$50,A17,'Control Library'!$R$5:$R$50,"Implemented")</f>
        <v>0</v>
      </c>
      <c r="F17" s="26" t="n">
        <f aca="false">COUNTIFS('Control Library'!$C$5:$C$50,A17,'Control Library'!$R$5:$R$50,"Not applicable")</f>
        <v>0</v>
      </c>
    </row>
    <row r="18" customFormat="false" ht="15" hidden="false" customHeight="false" outlineLevel="0" collapsed="false">
      <c r="A18" s="5" t="s">
        <v>120</v>
      </c>
      <c r="B18" s="26" t="n">
        <f aca="false">COUNTIFS('Control Library'!$C$5:$C$50,A18,'Control Library'!$R$5:$R$50,"Not started")</f>
        <v>0</v>
      </c>
      <c r="C18" s="26" t="n">
        <f aca="false">COUNTIFS('Control Library'!$C$5:$C$50,A18,'Control Library'!$R$5:$R$50,"Planned")</f>
        <v>0</v>
      </c>
      <c r="D18" s="26" t="n">
        <f aca="false">COUNTIFS('Control Library'!$C$5:$C$50,A18,'Control Library'!$R$5:$R$50,"Partially implemented")</f>
        <v>0</v>
      </c>
      <c r="E18" s="26" t="n">
        <f aca="false">COUNTIFS('Control Library'!$C$5:$C$50,A18,'Control Library'!$R$5:$R$50,"Implemented")</f>
        <v>0</v>
      </c>
      <c r="F18" s="26" t="n">
        <f aca="false">COUNTIFS('Control Library'!$C$5:$C$50,A18,'Control Library'!$R$5:$R$50,"Not applicable")</f>
        <v>0</v>
      </c>
    </row>
    <row r="19" customFormat="false" ht="15" hidden="false" customHeight="false" outlineLevel="0" collapsed="false">
      <c r="A19" s="5" t="s">
        <v>121</v>
      </c>
      <c r="B19" s="26" t="n">
        <f aca="false">COUNTIFS('Control Library'!$C$5:$C$50,A19,'Control Library'!$R$5:$R$50,"Not started")</f>
        <v>0</v>
      </c>
      <c r="C19" s="26" t="n">
        <f aca="false">COUNTIFS('Control Library'!$C$5:$C$50,A19,'Control Library'!$R$5:$R$50,"Planned")</f>
        <v>0</v>
      </c>
      <c r="D19" s="26" t="n">
        <f aca="false">COUNTIFS('Control Library'!$C$5:$C$50,A19,'Control Library'!$R$5:$R$50,"Partially implemented")</f>
        <v>0</v>
      </c>
      <c r="E19" s="26" t="n">
        <f aca="false">COUNTIFS('Control Library'!$C$5:$C$50,A19,'Control Library'!$R$5:$R$50,"Implemented")</f>
        <v>0</v>
      </c>
      <c r="F19" s="26" t="n">
        <f aca="false">COUNTIFS('Control Library'!$C$5:$C$50,A19,'Control Library'!$R$5:$R$50,"Not applicable")</f>
        <v>0</v>
      </c>
    </row>
    <row r="20" customFormat="false" ht="15" hidden="false" customHeight="false" outlineLevel="0" collapsed="false">
      <c r="A20" s="5" t="s">
        <v>122</v>
      </c>
      <c r="B20" s="26" t="n">
        <f aca="false">COUNTIFS('Control Library'!$C$5:$C$50,A20,'Control Library'!$R$5:$R$50,"Not started")</f>
        <v>0</v>
      </c>
      <c r="C20" s="26" t="n">
        <f aca="false">COUNTIFS('Control Library'!$C$5:$C$50,A20,'Control Library'!$R$5:$R$50,"Planned")</f>
        <v>0</v>
      </c>
      <c r="D20" s="26" t="n">
        <f aca="false">COUNTIFS('Control Library'!$C$5:$C$50,A20,'Control Library'!$R$5:$R$50,"Partially implemented")</f>
        <v>0</v>
      </c>
      <c r="E20" s="26" t="n">
        <f aca="false">COUNTIFS('Control Library'!$C$5:$C$50,A20,'Control Library'!$R$5:$R$50,"Implemented")</f>
        <v>0</v>
      </c>
      <c r="F20" s="26" t="n">
        <f aca="false">COUNTIFS('Control Library'!$C$5:$C$50,A20,'Control Library'!$R$5:$R$50,"Not applicable")</f>
        <v>0</v>
      </c>
    </row>
    <row r="22" customFormat="false" ht="15" hidden="false" customHeight="false" outlineLevel="0" collapsed="false">
      <c r="A22" s="17" t="s">
        <v>123</v>
      </c>
      <c r="B22" s="17" t="s">
        <v>124</v>
      </c>
      <c r="C22" s="17"/>
      <c r="D22" s="17"/>
      <c r="E22" s="17"/>
      <c r="F22" s="17"/>
    </row>
    <row r="23" customFormat="false" ht="15" hidden="false" customHeight="false" outlineLevel="0" collapsed="false">
      <c r="A23" s="27" t="s">
        <v>125</v>
      </c>
      <c r="B23" s="24" t="n">
        <f aca="false">COUNTIF('Control Library'!AA5:AA50,"Overdue")</f>
        <v>0</v>
      </c>
    </row>
    <row r="24" customFormat="false" ht="15" hidden="false" customHeight="false" outlineLevel="0" collapsed="false">
      <c r="A24" s="28" t="s">
        <v>126</v>
      </c>
      <c r="B24" s="24" t="n">
        <f aca="false">COUNTIF('Control Library'!AA5:AA50,"Due soon")</f>
        <v>0</v>
      </c>
    </row>
    <row r="25" customFormat="false" ht="15" hidden="false" customHeight="false" outlineLevel="0" collapsed="false">
      <c r="A25" s="29" t="s">
        <v>127</v>
      </c>
      <c r="B25" s="24" t="n">
        <f aca="false">COUNTIF('Control Library'!AA5:AA50,"On track")</f>
        <v>0</v>
      </c>
    </row>
    <row r="26" customFormat="false" ht="15" hidden="false" customHeight="false" outlineLevel="0" collapsed="false">
      <c r="A26" s="30" t="s">
        <v>128</v>
      </c>
      <c r="B26" s="24" t="n">
        <f aca="false">COUNTIF('Control Library'!AA5:AA50,"Not yet tested")</f>
        <v>44</v>
      </c>
    </row>
    <row r="27" customFormat="false" ht="15" hidden="false" customHeight="false" outlineLevel="0" collapsed="false">
      <c r="A27" s="27" t="s">
        <v>129</v>
      </c>
      <c r="B27" s="24" t="n">
        <f aca="false">COUNTIF('Control Library'!W5:W50,"Ineffective")</f>
        <v>0</v>
      </c>
    </row>
    <row r="30" customFormat="false" ht="27.75" hidden="false" customHeight="true" outlineLevel="0" collapsed="false">
      <c r="A30" s="11" t="s">
        <v>61</v>
      </c>
      <c r="B30" s="11"/>
      <c r="C30" s="11"/>
      <c r="D30" s="11"/>
      <c r="E30" s="11"/>
      <c r="F30" s="11"/>
    </row>
  </sheetData>
  <mergeCells count="1">
    <mergeCell ref="A30:F30"/>
  </mergeCells>
  <conditionalFormatting sqref="B10:F20">
    <cfRule type="cellIs" priority="2" operator="greater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75623"/>
    <pageSetUpPr fitToPage="false"/>
  </sheetPr>
  <dimension ref="A1:AD5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6"/>
    <col collapsed="false" customWidth="true" hidden="false" outlineLevel="0" max="3" min="3" style="0" width="22"/>
    <col collapsed="false" customWidth="true" hidden="false" outlineLevel="0" max="4" min="4" style="0" width="10"/>
    <col collapsed="false" customWidth="true" hidden="false" outlineLevel="0" max="5" min="5" style="0" width="40"/>
    <col collapsed="false" customWidth="true" hidden="false" outlineLevel="0" max="6" min="6" style="0" width="22"/>
    <col collapsed="false" customWidth="true" hidden="false" outlineLevel="0" max="8" min="7" style="0" width="14"/>
    <col collapsed="false" customWidth="true" hidden="false" outlineLevel="0" max="9" min="9" style="0" width="22"/>
    <col collapsed="false" customWidth="true" hidden="false" outlineLevel="0" max="10" min="10" style="0" width="50"/>
    <col collapsed="false" customWidth="true" hidden="false" outlineLevel="0" max="11" min="11" style="0" width="40"/>
    <col collapsed="false" customWidth="true" hidden="false" outlineLevel="0" max="12" min="12" style="0" width="44"/>
    <col collapsed="false" customWidth="true" hidden="false" outlineLevel="0" max="13" min="13" style="0" width="18"/>
    <col collapsed="false" customWidth="true" hidden="false" outlineLevel="0" max="14" min="14" style="0" width="16"/>
    <col collapsed="false" customWidth="true" hidden="false" outlineLevel="0" max="15" min="15" style="0" width="30"/>
    <col collapsed="false" customWidth="true" hidden="false" outlineLevel="0" max="17" min="16" style="0" width="10"/>
    <col collapsed="false" customWidth="true" hidden="false" outlineLevel="0" max="19" min="18" style="0" width="16"/>
    <col collapsed="false" customWidth="true" hidden="false" outlineLevel="0" max="20" min="20" style="0" width="22"/>
    <col collapsed="false" customWidth="true" hidden="false" outlineLevel="0" max="21" min="21" style="0" width="12"/>
    <col collapsed="false" customWidth="true" hidden="false" outlineLevel="0" max="22" min="22" style="0" width="10"/>
    <col collapsed="false" customWidth="true" hidden="false" outlineLevel="0" max="23" min="23" style="0" width="14"/>
    <col collapsed="false" customWidth="true" hidden="false" outlineLevel="0" max="24" min="24" style="0" width="30"/>
    <col collapsed="false" customWidth="true" hidden="false" outlineLevel="0" max="26" min="25" style="0" width="12"/>
    <col collapsed="false" customWidth="true" hidden="false" outlineLevel="0" max="27" min="27" style="0" width="14"/>
  </cols>
  <sheetData>
    <row r="1" customFormat="false" ht="30" hidden="false" customHeight="true" outlineLevel="0" collapsed="false">
      <c r="A1" s="31" t="s">
        <v>130</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row>
    <row r="2" customFormat="false" ht="15" hidden="false" customHeight="false" outlineLevel="0" collapsed="false">
      <c r="A2" s="3" t="s">
        <v>131</v>
      </c>
    </row>
    <row r="4" customFormat="false" ht="45" hidden="false" customHeight="true" outlineLevel="0" collapsed="false">
      <c r="A4" s="33" t="s">
        <v>132</v>
      </c>
      <c r="B4" s="33" t="s">
        <v>133</v>
      </c>
      <c r="C4" s="33" t="s">
        <v>134</v>
      </c>
      <c r="D4" s="33" t="s">
        <v>135</v>
      </c>
      <c r="E4" s="33" t="s">
        <v>136</v>
      </c>
      <c r="F4" s="33" t="s">
        <v>137</v>
      </c>
      <c r="G4" s="33" t="s">
        <v>138</v>
      </c>
      <c r="H4" s="33" t="s">
        <v>139</v>
      </c>
      <c r="I4" s="33" t="s">
        <v>140</v>
      </c>
      <c r="J4" s="33" t="s">
        <v>141</v>
      </c>
      <c r="K4" s="33" t="s">
        <v>142</v>
      </c>
      <c r="L4" s="33" t="s">
        <v>143</v>
      </c>
      <c r="M4" s="33" t="s">
        <v>144</v>
      </c>
      <c r="N4" s="33" t="s">
        <v>145</v>
      </c>
      <c r="O4" s="33" t="s">
        <v>146</v>
      </c>
      <c r="P4" s="33" t="s">
        <v>147</v>
      </c>
      <c r="Q4" s="34" t="s">
        <v>148</v>
      </c>
      <c r="R4" s="34" t="s">
        <v>149</v>
      </c>
      <c r="S4" s="34" t="s">
        <v>150</v>
      </c>
      <c r="T4" s="34" t="s">
        <v>151</v>
      </c>
      <c r="U4" s="34" t="s">
        <v>152</v>
      </c>
      <c r="V4" s="34" t="s">
        <v>153</v>
      </c>
      <c r="W4" s="34" t="s">
        <v>154</v>
      </c>
      <c r="X4" s="34" t="s">
        <v>155</v>
      </c>
      <c r="Y4" s="34" t="s">
        <v>156</v>
      </c>
      <c r="Z4" s="35" t="s">
        <v>157</v>
      </c>
      <c r="AA4" s="35" t="s">
        <v>158</v>
      </c>
    </row>
    <row r="5" customFormat="false" ht="102.2" hidden="false" customHeight="false" outlineLevel="0" collapsed="false">
      <c r="A5" s="36" t="s">
        <v>159</v>
      </c>
      <c r="B5" s="6" t="s">
        <v>160</v>
      </c>
      <c r="C5" s="6" t="s">
        <v>112</v>
      </c>
      <c r="D5" s="37" t="s">
        <v>108</v>
      </c>
      <c r="E5" s="6" t="s">
        <v>161</v>
      </c>
      <c r="F5" s="6" t="s">
        <v>162</v>
      </c>
      <c r="G5" s="37" t="s">
        <v>163</v>
      </c>
      <c r="H5" s="37" t="s">
        <v>164</v>
      </c>
      <c r="I5" s="6" t="s">
        <v>165</v>
      </c>
      <c r="J5" s="6" t="s">
        <v>166</v>
      </c>
      <c r="K5" s="6" t="s">
        <v>167</v>
      </c>
      <c r="L5" s="6" t="s">
        <v>168</v>
      </c>
      <c r="M5" s="6" t="s">
        <v>169</v>
      </c>
      <c r="N5" s="6" t="s">
        <v>170</v>
      </c>
      <c r="O5" s="6"/>
      <c r="P5" s="37" t="n">
        <v>33</v>
      </c>
      <c r="Q5" s="38" t="s">
        <v>171</v>
      </c>
      <c r="R5" s="38"/>
      <c r="S5" s="39"/>
      <c r="T5" s="39"/>
      <c r="U5" s="40"/>
      <c r="V5" s="41" t="n">
        <v>3</v>
      </c>
      <c r="W5" s="38"/>
      <c r="X5" s="39"/>
      <c r="Y5" s="40"/>
      <c r="Z5" s="42" t="str">
        <f aca="false">IF(OR(U5="",V5=""),"",EDATE(U5,V5))</f>
        <v/>
      </c>
      <c r="AA5" s="43" t="str">
        <f aca="true">IF(OR(Q5="No",R5="Not applicable"),"Not applicable",IF(U5="",IF(V5="","Event-driven: set date","Not yet tested"),IF(Z5="","Event-driven",IF(Z5&lt;TODAY(),"Overdue",IF(Z5-TODAY()&lt;=30,"Due soon","On track")))))</f>
        <v>Not yet tested</v>
      </c>
    </row>
    <row r="6" customFormat="false" ht="46.25" hidden="false" customHeight="false" outlineLevel="0" collapsed="false">
      <c r="A6" s="36" t="s">
        <v>172</v>
      </c>
      <c r="B6" s="44" t="s">
        <v>173</v>
      </c>
      <c r="C6" s="44" t="s">
        <v>112</v>
      </c>
      <c r="D6" s="45" t="s">
        <v>108</v>
      </c>
      <c r="E6" s="44" t="s">
        <v>174</v>
      </c>
      <c r="F6" s="44" t="s">
        <v>175</v>
      </c>
      <c r="G6" s="45" t="s">
        <v>176</v>
      </c>
      <c r="H6" s="45" t="s">
        <v>164</v>
      </c>
      <c r="I6" s="44" t="s">
        <v>177</v>
      </c>
      <c r="J6" s="44" t="s">
        <v>178</v>
      </c>
      <c r="K6" s="44" t="s">
        <v>179</v>
      </c>
      <c r="L6" s="44" t="s">
        <v>180</v>
      </c>
      <c r="M6" s="44" t="s">
        <v>181</v>
      </c>
      <c r="N6" s="44" t="s">
        <v>170</v>
      </c>
      <c r="O6" s="44"/>
      <c r="P6" s="45" t="n">
        <v>16</v>
      </c>
      <c r="Q6" s="38" t="s">
        <v>171</v>
      </c>
      <c r="R6" s="38"/>
      <c r="S6" s="39"/>
      <c r="T6" s="39"/>
      <c r="U6" s="40"/>
      <c r="V6" s="41" t="n">
        <v>3</v>
      </c>
      <c r="W6" s="38"/>
      <c r="X6" s="39"/>
      <c r="Y6" s="40"/>
      <c r="Z6" s="42" t="str">
        <f aca="false">IF(OR(U6="",V6=""),"",EDATE(U6,V6))</f>
        <v/>
      </c>
      <c r="AA6" s="43" t="str">
        <f aca="true">IF(OR(Q6="No",R6="Not applicable"),"Not applicable",IF(U6="",IF(V6="","Event-driven: set date","Not yet tested"),IF(Z6="","Event-driven",IF(Z6&lt;TODAY(),"Overdue",IF(Z6-TODAY()&lt;=30,"Due soon","On track")))))</f>
        <v>Not yet tested</v>
      </c>
    </row>
    <row r="7" customFormat="false" ht="46.25" hidden="false" customHeight="false" outlineLevel="0" collapsed="false">
      <c r="A7" s="36" t="s">
        <v>182</v>
      </c>
      <c r="B7" s="6" t="s">
        <v>183</v>
      </c>
      <c r="C7" s="6" t="s">
        <v>112</v>
      </c>
      <c r="D7" s="37" t="s">
        <v>109</v>
      </c>
      <c r="E7" s="6" t="s">
        <v>184</v>
      </c>
      <c r="F7" s="6" t="s">
        <v>185</v>
      </c>
      <c r="G7" s="37" t="s">
        <v>176</v>
      </c>
      <c r="H7" s="37" t="s">
        <v>164</v>
      </c>
      <c r="I7" s="6" t="s">
        <v>177</v>
      </c>
      <c r="J7" s="6" t="s">
        <v>186</v>
      </c>
      <c r="K7" s="6" t="s">
        <v>187</v>
      </c>
      <c r="L7" s="6" t="s">
        <v>188</v>
      </c>
      <c r="M7" s="6" t="s">
        <v>189</v>
      </c>
      <c r="N7" s="6" t="s">
        <v>170</v>
      </c>
      <c r="O7" s="6"/>
      <c r="P7" s="37" t="n">
        <v>6</v>
      </c>
      <c r="Q7" s="38" t="s">
        <v>171</v>
      </c>
      <c r="R7" s="38"/>
      <c r="S7" s="39"/>
      <c r="T7" s="39"/>
      <c r="U7" s="40"/>
      <c r="V7" s="41" t="n">
        <v>3</v>
      </c>
      <c r="W7" s="38"/>
      <c r="X7" s="39"/>
      <c r="Y7" s="40"/>
      <c r="Z7" s="42" t="str">
        <f aca="false">IF(OR(U7="",V7=""),"",EDATE(U7,V7))</f>
        <v/>
      </c>
      <c r="AA7" s="43" t="str">
        <f aca="true">IF(OR(Q7="No",R7="Not applicable"),"Not applicable",IF(U7="",IF(V7="","Event-driven: set date","Not yet tested"),IF(Z7="","Event-driven",IF(Z7&lt;TODAY(),"Overdue",IF(Z7-TODAY()&lt;=30,"Due soon","On track")))))</f>
        <v>Not yet tested</v>
      </c>
    </row>
    <row r="8" customFormat="false" ht="46.25" hidden="false" customHeight="false" outlineLevel="0" collapsed="false">
      <c r="A8" s="36" t="s">
        <v>190</v>
      </c>
      <c r="B8" s="44" t="s">
        <v>191</v>
      </c>
      <c r="C8" s="44" t="s">
        <v>112</v>
      </c>
      <c r="D8" s="45" t="s">
        <v>109</v>
      </c>
      <c r="E8" s="44" t="s">
        <v>192</v>
      </c>
      <c r="F8" s="44" t="s">
        <v>193</v>
      </c>
      <c r="G8" s="45" t="s">
        <v>176</v>
      </c>
      <c r="H8" s="45" t="s">
        <v>164</v>
      </c>
      <c r="I8" s="44" t="s">
        <v>194</v>
      </c>
      <c r="J8" s="44" t="s">
        <v>195</v>
      </c>
      <c r="K8" s="44" t="s">
        <v>196</v>
      </c>
      <c r="L8" s="44" t="s">
        <v>197</v>
      </c>
      <c r="M8" s="44" t="s">
        <v>198</v>
      </c>
      <c r="N8" s="44" t="s">
        <v>170</v>
      </c>
      <c r="O8" s="44"/>
      <c r="P8" s="45" t="n">
        <v>19</v>
      </c>
      <c r="Q8" s="38" t="s">
        <v>171</v>
      </c>
      <c r="R8" s="38"/>
      <c r="S8" s="39"/>
      <c r="T8" s="39"/>
      <c r="U8" s="40"/>
      <c r="V8" s="41" t="n">
        <v>3</v>
      </c>
      <c r="W8" s="38"/>
      <c r="X8" s="39"/>
      <c r="Y8" s="40"/>
      <c r="Z8" s="42" t="str">
        <f aca="false">IF(OR(U8="",V8=""),"",EDATE(U8,V8))</f>
        <v/>
      </c>
      <c r="AA8" s="43" t="str">
        <f aca="true">IF(OR(Q8="No",R8="Not applicable"),"Not applicable",IF(U8="",IF(V8="","Event-driven: set date","Not yet tested"),IF(Z8="","Event-driven",IF(Z8&lt;TODAY(),"Overdue",IF(Z8-TODAY()&lt;=30,"Due soon","On track")))))</f>
        <v>Not yet tested</v>
      </c>
    </row>
    <row r="9" customFormat="false" ht="46.25" hidden="false" customHeight="false" outlineLevel="0" collapsed="false">
      <c r="A9" s="36" t="s">
        <v>199</v>
      </c>
      <c r="B9" s="6" t="s">
        <v>200</v>
      </c>
      <c r="C9" s="6" t="s">
        <v>113</v>
      </c>
      <c r="D9" s="37" t="s">
        <v>108</v>
      </c>
      <c r="E9" s="6" t="s">
        <v>201</v>
      </c>
      <c r="F9" s="6" t="s">
        <v>202</v>
      </c>
      <c r="G9" s="37" t="s">
        <v>176</v>
      </c>
      <c r="H9" s="37" t="s">
        <v>164</v>
      </c>
      <c r="I9" s="6" t="s">
        <v>203</v>
      </c>
      <c r="J9" s="6" t="s">
        <v>204</v>
      </c>
      <c r="K9" s="6" t="s">
        <v>205</v>
      </c>
      <c r="L9" s="6" t="s">
        <v>206</v>
      </c>
      <c r="M9" s="6" t="s">
        <v>207</v>
      </c>
      <c r="N9" s="6" t="s">
        <v>208</v>
      </c>
      <c r="O9" s="6"/>
      <c r="P9" s="37" t="n">
        <v>52</v>
      </c>
      <c r="Q9" s="38" t="s">
        <v>171</v>
      </c>
      <c r="R9" s="38"/>
      <c r="S9" s="39"/>
      <c r="T9" s="39"/>
      <c r="U9" s="40"/>
      <c r="V9" s="41" t="n">
        <v>3</v>
      </c>
      <c r="W9" s="38"/>
      <c r="X9" s="39"/>
      <c r="Y9" s="40"/>
      <c r="Z9" s="42" t="str">
        <f aca="false">IF(OR(U9="",V9=""),"",EDATE(U9,V9))</f>
        <v/>
      </c>
      <c r="AA9" s="43" t="str">
        <f aca="true">IF(OR(Q9="No",R9="Not applicable"),"Not applicable",IF(U9="",IF(V9="","Event-driven: set date","Not yet tested"),IF(Z9="","Event-driven",IF(Z9&lt;TODAY(),"Overdue",IF(Z9-TODAY()&lt;=30,"Due soon","On track")))))</f>
        <v>Not yet tested</v>
      </c>
    </row>
    <row r="10" customFormat="false" ht="57.45" hidden="false" customHeight="false" outlineLevel="0" collapsed="false">
      <c r="A10" s="36" t="s">
        <v>209</v>
      </c>
      <c r="B10" s="44" t="s">
        <v>210</v>
      </c>
      <c r="C10" s="44" t="s">
        <v>114</v>
      </c>
      <c r="D10" s="45" t="s">
        <v>108</v>
      </c>
      <c r="E10" s="44" t="s">
        <v>211</v>
      </c>
      <c r="F10" s="44" t="s">
        <v>212</v>
      </c>
      <c r="G10" s="45" t="s">
        <v>213</v>
      </c>
      <c r="H10" s="45" t="s">
        <v>164</v>
      </c>
      <c r="I10" s="44" t="s">
        <v>214</v>
      </c>
      <c r="J10" s="44" t="s">
        <v>215</v>
      </c>
      <c r="K10" s="44" t="s">
        <v>216</v>
      </c>
      <c r="L10" s="44" t="s">
        <v>217</v>
      </c>
      <c r="M10" s="44" t="s">
        <v>218</v>
      </c>
      <c r="N10" s="44" t="s">
        <v>170</v>
      </c>
      <c r="O10" s="44"/>
      <c r="P10" s="45" t="n">
        <v>15</v>
      </c>
      <c r="Q10" s="38" t="s">
        <v>171</v>
      </c>
      <c r="R10" s="38"/>
      <c r="S10" s="39"/>
      <c r="T10" s="39"/>
      <c r="U10" s="40"/>
      <c r="V10" s="41" t="n">
        <v>3</v>
      </c>
      <c r="W10" s="38"/>
      <c r="X10" s="39"/>
      <c r="Y10" s="40"/>
      <c r="Z10" s="42" t="str">
        <f aca="false">IF(OR(U10="",V10=""),"",EDATE(U10,V10))</f>
        <v/>
      </c>
      <c r="AA10" s="43" t="str">
        <f aca="true">IF(OR(Q10="No",R10="Not applicable"),"Not applicable",IF(U10="",IF(V10="","Event-driven: set date","Not yet tested"),IF(Z10="","Event-driven",IF(Z10&lt;TODAY(),"Overdue",IF(Z10-TODAY()&lt;=30,"Due soon","On track")))))</f>
        <v>Not yet tested</v>
      </c>
    </row>
    <row r="11" customFormat="false" ht="46.25" hidden="false" customHeight="false" outlineLevel="0" collapsed="false">
      <c r="A11" s="36" t="s">
        <v>219</v>
      </c>
      <c r="B11" s="6" t="s">
        <v>220</v>
      </c>
      <c r="C11" s="6" t="s">
        <v>115</v>
      </c>
      <c r="D11" s="37" t="s">
        <v>109</v>
      </c>
      <c r="E11" s="6" t="s">
        <v>221</v>
      </c>
      <c r="F11" s="6" t="s">
        <v>222</v>
      </c>
      <c r="G11" s="37" t="s">
        <v>163</v>
      </c>
      <c r="H11" s="37" t="s">
        <v>223</v>
      </c>
      <c r="I11" s="6" t="s">
        <v>224</v>
      </c>
      <c r="J11" s="6" t="s">
        <v>225</v>
      </c>
      <c r="K11" s="6" t="s">
        <v>226</v>
      </c>
      <c r="L11" s="6" t="s">
        <v>227</v>
      </c>
      <c r="M11" s="6" t="s">
        <v>228</v>
      </c>
      <c r="N11" s="6" t="s">
        <v>229</v>
      </c>
      <c r="O11" s="6"/>
      <c r="P11" s="37" t="n">
        <v>15</v>
      </c>
      <c r="Q11" s="38" t="s">
        <v>171</v>
      </c>
      <c r="R11" s="38"/>
      <c r="S11" s="39"/>
      <c r="T11" s="39"/>
      <c r="U11" s="40"/>
      <c r="V11" s="41" t="n">
        <v>12</v>
      </c>
      <c r="W11" s="38"/>
      <c r="X11" s="39"/>
      <c r="Y11" s="40"/>
      <c r="Z11" s="42" t="str">
        <f aca="false">IF(OR(U11="",V11=""),"",EDATE(U11,V11))</f>
        <v/>
      </c>
      <c r="AA11" s="43" t="str">
        <f aca="true">IF(OR(Q11="No",R11="Not applicable"),"Not applicable",IF(U11="",IF(V11="","Event-driven: set date","Not yet tested"),IF(Z11="","Event-driven",IF(Z11&lt;TODAY(),"Overdue",IF(Z11-TODAY()&lt;=30,"Due soon","On track")))))</f>
        <v>Not yet tested</v>
      </c>
    </row>
    <row r="12" customFormat="false" ht="79.85" hidden="false" customHeight="false" outlineLevel="0" collapsed="false">
      <c r="A12" s="36" t="s">
        <v>230</v>
      </c>
      <c r="B12" s="44" t="s">
        <v>231</v>
      </c>
      <c r="C12" s="44" t="s">
        <v>116</v>
      </c>
      <c r="D12" s="45" t="s">
        <v>108</v>
      </c>
      <c r="E12" s="44" t="s">
        <v>232</v>
      </c>
      <c r="F12" s="44" t="s">
        <v>162</v>
      </c>
      <c r="G12" s="45" t="s">
        <v>233</v>
      </c>
      <c r="H12" s="45" t="s">
        <v>164</v>
      </c>
      <c r="I12" s="44" t="s">
        <v>234</v>
      </c>
      <c r="J12" s="44" t="s">
        <v>235</v>
      </c>
      <c r="K12" s="44" t="s">
        <v>236</v>
      </c>
      <c r="L12" s="44" t="s">
        <v>237</v>
      </c>
      <c r="M12" s="44" t="s">
        <v>169</v>
      </c>
      <c r="N12" s="44" t="s">
        <v>238</v>
      </c>
      <c r="O12" s="44"/>
      <c r="P12" s="45" t="n">
        <v>23</v>
      </c>
      <c r="Q12" s="38" t="s">
        <v>171</v>
      </c>
      <c r="R12" s="38"/>
      <c r="S12" s="39"/>
      <c r="T12" s="39"/>
      <c r="U12" s="40"/>
      <c r="V12" s="41" t="n">
        <v>6</v>
      </c>
      <c r="W12" s="38"/>
      <c r="X12" s="39"/>
      <c r="Y12" s="40"/>
      <c r="Z12" s="42" t="str">
        <f aca="false">IF(OR(U12="",V12=""),"",EDATE(U12,V12))</f>
        <v/>
      </c>
      <c r="AA12" s="43" t="str">
        <f aca="true">IF(OR(Q12="No",R12="Not applicable"),"Not applicable",IF(U12="",IF(V12="","Event-driven: set date","Not yet tested"),IF(Z12="","Event-driven",IF(Z12&lt;TODAY(),"Overdue",IF(Z12-TODAY()&lt;=30,"Due soon","On track")))))</f>
        <v>Not yet tested</v>
      </c>
    </row>
    <row r="13" customFormat="false" ht="46.25" hidden="false" customHeight="false" outlineLevel="0" collapsed="false">
      <c r="A13" s="36" t="s">
        <v>239</v>
      </c>
      <c r="B13" s="6" t="s">
        <v>240</v>
      </c>
      <c r="C13" s="6" t="s">
        <v>116</v>
      </c>
      <c r="D13" s="37" t="s">
        <v>109</v>
      </c>
      <c r="E13" s="6" t="s">
        <v>241</v>
      </c>
      <c r="F13" s="6" t="s">
        <v>162</v>
      </c>
      <c r="G13" s="37" t="s">
        <v>242</v>
      </c>
      <c r="H13" s="37" t="s">
        <v>164</v>
      </c>
      <c r="I13" s="6" t="s">
        <v>243</v>
      </c>
      <c r="J13" s="6" t="s">
        <v>244</v>
      </c>
      <c r="K13" s="6" t="s">
        <v>245</v>
      </c>
      <c r="L13" s="6" t="s">
        <v>246</v>
      </c>
      <c r="M13" s="6" t="s">
        <v>247</v>
      </c>
      <c r="N13" s="6" t="s">
        <v>238</v>
      </c>
      <c r="O13" s="6"/>
      <c r="P13" s="37" t="n">
        <v>22</v>
      </c>
      <c r="Q13" s="38" t="s">
        <v>171</v>
      </c>
      <c r="R13" s="38"/>
      <c r="S13" s="39"/>
      <c r="T13" s="39"/>
      <c r="U13" s="40"/>
      <c r="V13" s="41" t="n">
        <v>6</v>
      </c>
      <c r="W13" s="38"/>
      <c r="X13" s="39"/>
      <c r="Y13" s="40"/>
      <c r="Z13" s="42" t="str">
        <f aca="false">IF(OR(U13="",V13=""),"",EDATE(U13,V13))</f>
        <v/>
      </c>
      <c r="AA13" s="43" t="str">
        <f aca="true">IF(OR(Q13="No",R13="Not applicable"),"Not applicable",IF(U13="",IF(V13="","Event-driven: set date","Not yet tested"),IF(Z13="","Event-driven",IF(Z13&lt;TODAY(),"Overdue",IF(Z13-TODAY()&lt;=30,"Due soon","On track")))))</f>
        <v>Not yet tested</v>
      </c>
    </row>
    <row r="14" customFormat="false" ht="46.25" hidden="false" customHeight="false" outlineLevel="0" collapsed="false">
      <c r="A14" s="36" t="s">
        <v>248</v>
      </c>
      <c r="B14" s="44" t="s">
        <v>249</v>
      </c>
      <c r="C14" s="44" t="s">
        <v>112</v>
      </c>
      <c r="D14" s="45" t="s">
        <v>109</v>
      </c>
      <c r="E14" s="44" t="s">
        <v>250</v>
      </c>
      <c r="F14" s="44" t="s">
        <v>175</v>
      </c>
      <c r="G14" s="45" t="s">
        <v>176</v>
      </c>
      <c r="H14" s="45" t="s">
        <v>164</v>
      </c>
      <c r="I14" s="44" t="s">
        <v>251</v>
      </c>
      <c r="J14" s="44" t="s">
        <v>252</v>
      </c>
      <c r="K14" s="44" t="s">
        <v>253</v>
      </c>
      <c r="L14" s="44" t="s">
        <v>254</v>
      </c>
      <c r="M14" s="44" t="s">
        <v>181</v>
      </c>
      <c r="N14" s="44" t="s">
        <v>170</v>
      </c>
      <c r="O14" s="44"/>
      <c r="P14" s="45" t="n">
        <v>28</v>
      </c>
      <c r="Q14" s="38" t="s">
        <v>171</v>
      </c>
      <c r="R14" s="38"/>
      <c r="S14" s="39"/>
      <c r="T14" s="39"/>
      <c r="U14" s="40"/>
      <c r="V14" s="41" t="n">
        <v>3</v>
      </c>
      <c r="W14" s="38"/>
      <c r="X14" s="39"/>
      <c r="Y14" s="40"/>
      <c r="Z14" s="42" t="str">
        <f aca="false">IF(OR(U14="",V14=""),"",EDATE(U14,V14))</f>
        <v/>
      </c>
      <c r="AA14" s="43" t="str">
        <f aca="true">IF(OR(Q14="No",R14="Not applicable"),"Not applicable",IF(U14="",IF(V14="","Event-driven: set date","Not yet tested"),IF(Z14="","Event-driven",IF(Z14&lt;TODAY(),"Overdue",IF(Z14-TODAY()&lt;=30,"Due soon","On track")))))</f>
        <v>Not yet tested</v>
      </c>
    </row>
    <row r="15" customFormat="false" ht="79.85" hidden="false" customHeight="false" outlineLevel="0" collapsed="false">
      <c r="A15" s="36" t="s">
        <v>255</v>
      </c>
      <c r="B15" s="6" t="s">
        <v>256</v>
      </c>
      <c r="C15" s="6" t="s">
        <v>115</v>
      </c>
      <c r="D15" s="37" t="s">
        <v>108</v>
      </c>
      <c r="E15" s="6" t="s">
        <v>257</v>
      </c>
      <c r="F15" s="6" t="s">
        <v>222</v>
      </c>
      <c r="G15" s="37" t="s">
        <v>163</v>
      </c>
      <c r="H15" s="37" t="s">
        <v>164</v>
      </c>
      <c r="I15" s="6" t="s">
        <v>258</v>
      </c>
      <c r="J15" s="6" t="s">
        <v>259</v>
      </c>
      <c r="K15" s="6" t="s">
        <v>260</v>
      </c>
      <c r="L15" s="6" t="s">
        <v>261</v>
      </c>
      <c r="M15" s="6" t="s">
        <v>262</v>
      </c>
      <c r="N15" s="6" t="s">
        <v>170</v>
      </c>
      <c r="O15" s="6"/>
      <c r="P15" s="37" t="n">
        <v>19</v>
      </c>
      <c r="Q15" s="38" t="s">
        <v>171</v>
      </c>
      <c r="R15" s="38"/>
      <c r="S15" s="39"/>
      <c r="T15" s="39"/>
      <c r="U15" s="40"/>
      <c r="V15" s="41" t="n">
        <v>3</v>
      </c>
      <c r="W15" s="38"/>
      <c r="X15" s="39"/>
      <c r="Y15" s="40"/>
      <c r="Z15" s="42" t="str">
        <f aca="false">IF(OR(U15="",V15=""),"",EDATE(U15,V15))</f>
        <v/>
      </c>
      <c r="AA15" s="43" t="str">
        <f aca="true">IF(OR(Q15="No",R15="Not applicable"),"Not applicable",IF(U15="",IF(V15="","Event-driven: set date","Not yet tested"),IF(Z15="","Event-driven",IF(Z15&lt;TODAY(),"Overdue",IF(Z15-TODAY()&lt;=30,"Due soon","On track")))))</f>
        <v>Not yet tested</v>
      </c>
    </row>
    <row r="16" customFormat="false" ht="147" hidden="false" customHeight="false" outlineLevel="0" collapsed="false">
      <c r="A16" s="36" t="s">
        <v>263</v>
      </c>
      <c r="B16" s="44" t="s">
        <v>264</v>
      </c>
      <c r="C16" s="44" t="s">
        <v>115</v>
      </c>
      <c r="D16" s="45" t="s">
        <v>108</v>
      </c>
      <c r="E16" s="44" t="s">
        <v>265</v>
      </c>
      <c r="F16" s="44" t="s">
        <v>162</v>
      </c>
      <c r="G16" s="45" t="s">
        <v>163</v>
      </c>
      <c r="H16" s="45" t="s">
        <v>164</v>
      </c>
      <c r="I16" s="44" t="s">
        <v>266</v>
      </c>
      <c r="J16" s="44" t="s">
        <v>267</v>
      </c>
      <c r="K16" s="44" t="s">
        <v>268</v>
      </c>
      <c r="L16" s="44" t="s">
        <v>269</v>
      </c>
      <c r="M16" s="44" t="s">
        <v>270</v>
      </c>
      <c r="N16" s="44" t="s">
        <v>271</v>
      </c>
      <c r="O16" s="44"/>
      <c r="P16" s="45" t="n">
        <v>8</v>
      </c>
      <c r="Q16" s="38" t="s">
        <v>171</v>
      </c>
      <c r="R16" s="38"/>
      <c r="S16" s="39"/>
      <c r="T16" s="39"/>
      <c r="U16" s="40"/>
      <c r="V16" s="41" t="n">
        <v>12</v>
      </c>
      <c r="W16" s="38"/>
      <c r="X16" s="39"/>
      <c r="Y16" s="40"/>
      <c r="Z16" s="42" t="str">
        <f aca="false">IF(OR(U16="",V16=""),"",EDATE(U16,V16))</f>
        <v/>
      </c>
      <c r="AA16" s="43" t="str">
        <f aca="true">IF(OR(Q16="No",R16="Not applicable"),"Not applicable",IF(U16="",IF(V16="","Event-driven: set date","Not yet tested"),IF(Z16="","Event-driven",IF(Z16&lt;TODAY(),"Overdue",IF(Z16-TODAY()&lt;=30,"Due soon","On track")))))</f>
        <v>Not yet tested</v>
      </c>
    </row>
    <row r="17" customFormat="false" ht="46.25" hidden="false" customHeight="false" outlineLevel="0" collapsed="false">
      <c r="A17" s="36" t="s">
        <v>272</v>
      </c>
      <c r="B17" s="6" t="s">
        <v>273</v>
      </c>
      <c r="C17" s="6" t="s">
        <v>115</v>
      </c>
      <c r="D17" s="37" t="s">
        <v>108</v>
      </c>
      <c r="E17" s="6" t="s">
        <v>274</v>
      </c>
      <c r="F17" s="6" t="s">
        <v>275</v>
      </c>
      <c r="G17" s="37" t="s">
        <v>213</v>
      </c>
      <c r="H17" s="37" t="s">
        <v>164</v>
      </c>
      <c r="I17" s="6" t="s">
        <v>276</v>
      </c>
      <c r="J17" s="6" t="s">
        <v>277</v>
      </c>
      <c r="K17" s="6" t="s">
        <v>278</v>
      </c>
      <c r="L17" s="6" t="s">
        <v>279</v>
      </c>
      <c r="M17" s="6" t="s">
        <v>280</v>
      </c>
      <c r="N17" s="6" t="s">
        <v>281</v>
      </c>
      <c r="O17" s="6"/>
      <c r="P17" s="37" t="n">
        <v>41</v>
      </c>
      <c r="Q17" s="38" t="s">
        <v>171</v>
      </c>
      <c r="R17" s="38"/>
      <c r="S17" s="39"/>
      <c r="T17" s="39"/>
      <c r="U17" s="40"/>
      <c r="V17" s="41" t="n">
        <v>12</v>
      </c>
      <c r="W17" s="38"/>
      <c r="X17" s="39"/>
      <c r="Y17" s="40"/>
      <c r="Z17" s="42" t="str">
        <f aca="false">IF(OR(U17="",V17=""),"",EDATE(U17,V17))</f>
        <v/>
      </c>
      <c r="AA17" s="43" t="str">
        <f aca="true">IF(OR(Q17="No",R17="Not applicable"),"Not applicable",IF(U17="",IF(V17="","Event-driven: set date","Not yet tested"),IF(Z17="","Event-driven",IF(Z17&lt;TODAY(),"Overdue",IF(Z17-TODAY()&lt;=30,"Due soon","On track")))))</f>
        <v>Not yet tested</v>
      </c>
    </row>
    <row r="18" customFormat="false" ht="180.55" hidden="false" customHeight="false" outlineLevel="0" collapsed="false">
      <c r="A18" s="36" t="s">
        <v>282</v>
      </c>
      <c r="B18" s="44" t="s">
        <v>283</v>
      </c>
      <c r="C18" s="44" t="s">
        <v>115</v>
      </c>
      <c r="D18" s="45" t="s">
        <v>108</v>
      </c>
      <c r="E18" s="44" t="s">
        <v>284</v>
      </c>
      <c r="F18" s="44" t="s">
        <v>285</v>
      </c>
      <c r="G18" s="45" t="s">
        <v>163</v>
      </c>
      <c r="H18" s="45" t="s">
        <v>223</v>
      </c>
      <c r="I18" s="44" t="s">
        <v>286</v>
      </c>
      <c r="J18" s="44" t="s">
        <v>287</v>
      </c>
      <c r="K18" s="44" t="s">
        <v>288</v>
      </c>
      <c r="L18" s="44" t="s">
        <v>289</v>
      </c>
      <c r="M18" s="44" t="s">
        <v>290</v>
      </c>
      <c r="N18" s="44" t="s">
        <v>229</v>
      </c>
      <c r="O18" s="44"/>
      <c r="P18" s="45" t="n">
        <v>26</v>
      </c>
      <c r="Q18" s="38" t="s">
        <v>171</v>
      </c>
      <c r="R18" s="38"/>
      <c r="S18" s="39"/>
      <c r="T18" s="39"/>
      <c r="U18" s="40"/>
      <c r="V18" s="41" t="n">
        <v>12</v>
      </c>
      <c r="W18" s="38"/>
      <c r="X18" s="39"/>
      <c r="Y18" s="40"/>
      <c r="Z18" s="42" t="str">
        <f aca="false">IF(OR(U18="",V18=""),"",EDATE(U18,V18))</f>
        <v/>
      </c>
      <c r="AA18" s="43" t="str">
        <f aca="true">IF(OR(Q18="No",R18="Not applicable"),"Not applicable",IF(U18="",IF(V18="","Event-driven: set date","Not yet tested"),IF(Z18="","Event-driven",IF(Z18&lt;TODAY(),"Overdue",IF(Z18-TODAY()&lt;=30,"Due soon","On track")))))</f>
        <v>Not yet tested</v>
      </c>
    </row>
    <row r="19" customFormat="false" ht="169.4" hidden="false" customHeight="false" outlineLevel="0" collapsed="false">
      <c r="A19" s="36" t="s">
        <v>291</v>
      </c>
      <c r="B19" s="6" t="s">
        <v>292</v>
      </c>
      <c r="C19" s="6" t="s">
        <v>117</v>
      </c>
      <c r="D19" s="37" t="s">
        <v>108</v>
      </c>
      <c r="E19" s="6" t="s">
        <v>293</v>
      </c>
      <c r="F19" s="6" t="s">
        <v>294</v>
      </c>
      <c r="G19" s="37" t="s">
        <v>176</v>
      </c>
      <c r="H19" s="37" t="s">
        <v>164</v>
      </c>
      <c r="I19" s="6" t="s">
        <v>295</v>
      </c>
      <c r="J19" s="6" t="s">
        <v>296</v>
      </c>
      <c r="K19" s="6" t="s">
        <v>297</v>
      </c>
      <c r="L19" s="6" t="s">
        <v>298</v>
      </c>
      <c r="M19" s="6" t="s">
        <v>299</v>
      </c>
      <c r="N19" s="6" t="s">
        <v>238</v>
      </c>
      <c r="O19" s="6"/>
      <c r="P19" s="37" t="n">
        <v>45</v>
      </c>
      <c r="Q19" s="38" t="s">
        <v>171</v>
      </c>
      <c r="R19" s="38"/>
      <c r="S19" s="39"/>
      <c r="T19" s="39"/>
      <c r="U19" s="40"/>
      <c r="V19" s="41" t="n">
        <v>6</v>
      </c>
      <c r="W19" s="38"/>
      <c r="X19" s="39"/>
      <c r="Y19" s="40"/>
      <c r="Z19" s="42" t="str">
        <f aca="false">IF(OR(U19="",V19=""),"",EDATE(U19,V19))</f>
        <v/>
      </c>
      <c r="AA19" s="43" t="str">
        <f aca="true">IF(OR(Q19="No",R19="Not applicable"),"Not applicable",IF(U19="",IF(V19="","Event-driven: set date","Not yet tested"),IF(Z19="","Event-driven",IF(Z19&lt;TODAY(),"Overdue",IF(Z19-TODAY()&lt;=30,"Due soon","On track")))))</f>
        <v>Not yet tested</v>
      </c>
    </row>
    <row r="20" customFormat="false" ht="124.6" hidden="false" customHeight="false" outlineLevel="0" collapsed="false">
      <c r="A20" s="36" t="s">
        <v>300</v>
      </c>
      <c r="B20" s="44" t="s">
        <v>301</v>
      </c>
      <c r="C20" s="44" t="s">
        <v>117</v>
      </c>
      <c r="D20" s="45" t="s">
        <v>108</v>
      </c>
      <c r="E20" s="44" t="s">
        <v>302</v>
      </c>
      <c r="F20" s="44" t="s">
        <v>294</v>
      </c>
      <c r="G20" s="45" t="s">
        <v>176</v>
      </c>
      <c r="H20" s="45" t="s">
        <v>164</v>
      </c>
      <c r="I20" s="44" t="s">
        <v>303</v>
      </c>
      <c r="J20" s="44" t="s">
        <v>304</v>
      </c>
      <c r="K20" s="44" t="s">
        <v>305</v>
      </c>
      <c r="L20" s="44" t="s">
        <v>306</v>
      </c>
      <c r="M20" s="44" t="s">
        <v>299</v>
      </c>
      <c r="N20" s="44" t="s">
        <v>170</v>
      </c>
      <c r="O20" s="44"/>
      <c r="P20" s="45" t="n">
        <v>53</v>
      </c>
      <c r="Q20" s="38" t="s">
        <v>171</v>
      </c>
      <c r="R20" s="38"/>
      <c r="S20" s="39"/>
      <c r="T20" s="39"/>
      <c r="U20" s="40"/>
      <c r="V20" s="41" t="n">
        <v>3</v>
      </c>
      <c r="W20" s="38"/>
      <c r="X20" s="39"/>
      <c r="Y20" s="40"/>
      <c r="Z20" s="42" t="str">
        <f aca="false">IF(OR(U20="",V20=""),"",EDATE(U20,V20))</f>
        <v/>
      </c>
      <c r="AA20" s="43" t="str">
        <f aca="true">IF(OR(Q20="No",R20="Not applicable"),"Not applicable",IF(U20="",IF(V20="","Event-driven: set date","Not yet tested"),IF(Z20="","Event-driven",IF(Z20&lt;TODAY(),"Overdue",IF(Z20-TODAY()&lt;=30,"Due soon","On track")))))</f>
        <v>Not yet tested</v>
      </c>
    </row>
    <row r="21" customFormat="false" ht="180.55" hidden="false" customHeight="false" outlineLevel="0" collapsed="false">
      <c r="A21" s="36" t="s">
        <v>307</v>
      </c>
      <c r="B21" s="6" t="s">
        <v>308</v>
      </c>
      <c r="C21" s="6" t="s">
        <v>118</v>
      </c>
      <c r="D21" s="37" t="s">
        <v>108</v>
      </c>
      <c r="E21" s="6" t="s">
        <v>309</v>
      </c>
      <c r="F21" s="6" t="s">
        <v>294</v>
      </c>
      <c r="G21" s="37" t="s">
        <v>176</v>
      </c>
      <c r="H21" s="37" t="s">
        <v>164</v>
      </c>
      <c r="I21" s="6" t="s">
        <v>310</v>
      </c>
      <c r="J21" s="6" t="s">
        <v>311</v>
      </c>
      <c r="K21" s="6" t="s">
        <v>312</v>
      </c>
      <c r="L21" s="6" t="s">
        <v>313</v>
      </c>
      <c r="M21" s="6" t="s">
        <v>314</v>
      </c>
      <c r="N21" s="6" t="s">
        <v>238</v>
      </c>
      <c r="O21" s="6"/>
      <c r="P21" s="37" t="n">
        <v>39</v>
      </c>
      <c r="Q21" s="38" t="s">
        <v>171</v>
      </c>
      <c r="R21" s="38"/>
      <c r="S21" s="39"/>
      <c r="T21" s="39"/>
      <c r="U21" s="40"/>
      <c r="V21" s="41" t="n">
        <v>6</v>
      </c>
      <c r="W21" s="38"/>
      <c r="X21" s="39"/>
      <c r="Y21" s="40"/>
      <c r="Z21" s="42" t="str">
        <f aca="false">IF(OR(U21="",V21=""),"",EDATE(U21,V21))</f>
        <v/>
      </c>
      <c r="AA21" s="43" t="str">
        <f aca="true">IF(OR(Q21="No",R21="Not applicable"),"Not applicable",IF(U21="",IF(V21="","Event-driven: set date","Not yet tested"),IF(Z21="","Event-driven",IF(Z21&lt;TODAY(),"Overdue",IF(Z21-TODAY()&lt;=30,"Due soon","On track")))))</f>
        <v>Not yet tested</v>
      </c>
    </row>
    <row r="22" customFormat="false" ht="46.25" hidden="false" customHeight="false" outlineLevel="0" collapsed="false">
      <c r="A22" s="36" t="s">
        <v>315</v>
      </c>
      <c r="B22" s="44" t="s">
        <v>316</v>
      </c>
      <c r="C22" s="44" t="s">
        <v>118</v>
      </c>
      <c r="D22" s="45" t="s">
        <v>108</v>
      </c>
      <c r="E22" s="44" t="s">
        <v>317</v>
      </c>
      <c r="F22" s="44" t="s">
        <v>318</v>
      </c>
      <c r="G22" s="45" t="s">
        <v>176</v>
      </c>
      <c r="H22" s="45" t="s">
        <v>164</v>
      </c>
      <c r="I22" s="44" t="s">
        <v>319</v>
      </c>
      <c r="J22" s="44" t="s">
        <v>320</v>
      </c>
      <c r="K22" s="44" t="s">
        <v>321</v>
      </c>
      <c r="L22" s="44" t="s">
        <v>322</v>
      </c>
      <c r="M22" s="44" t="s">
        <v>323</v>
      </c>
      <c r="N22" s="44" t="s">
        <v>170</v>
      </c>
      <c r="O22" s="44"/>
      <c r="P22" s="45" t="n">
        <v>10</v>
      </c>
      <c r="Q22" s="38" t="s">
        <v>171</v>
      </c>
      <c r="R22" s="38"/>
      <c r="S22" s="39"/>
      <c r="T22" s="39"/>
      <c r="U22" s="40"/>
      <c r="V22" s="41" t="n">
        <v>3</v>
      </c>
      <c r="W22" s="38"/>
      <c r="X22" s="39"/>
      <c r="Y22" s="40"/>
      <c r="Z22" s="42" t="str">
        <f aca="false">IF(OR(U22="",V22=""),"",EDATE(U22,V22))</f>
        <v/>
      </c>
      <c r="AA22" s="43" t="str">
        <f aca="true">IF(OR(Q22="No",R22="Not applicable"),"Not applicable",IF(U22="",IF(V22="","Event-driven: set date","Not yet tested"),IF(Z22="","Event-driven",IF(Z22&lt;TODAY(),"Overdue",IF(Z22-TODAY()&lt;=30,"Due soon","On track")))))</f>
        <v>Not yet tested</v>
      </c>
    </row>
    <row r="23" customFormat="false" ht="113.4" hidden="false" customHeight="false" outlineLevel="0" collapsed="false">
      <c r="A23" s="36" t="s">
        <v>324</v>
      </c>
      <c r="B23" s="6" t="s">
        <v>325</v>
      </c>
      <c r="C23" s="6" t="s">
        <v>118</v>
      </c>
      <c r="D23" s="37" t="s">
        <v>109</v>
      </c>
      <c r="E23" s="6" t="s">
        <v>326</v>
      </c>
      <c r="F23" s="6" t="s">
        <v>318</v>
      </c>
      <c r="G23" s="37" t="s">
        <v>176</v>
      </c>
      <c r="H23" s="37" t="s">
        <v>164</v>
      </c>
      <c r="I23" s="6" t="s">
        <v>327</v>
      </c>
      <c r="J23" s="6" t="s">
        <v>328</v>
      </c>
      <c r="K23" s="6" t="s">
        <v>329</v>
      </c>
      <c r="L23" s="6" t="s">
        <v>330</v>
      </c>
      <c r="M23" s="6" t="s">
        <v>323</v>
      </c>
      <c r="N23" s="6" t="s">
        <v>170</v>
      </c>
      <c r="O23" s="6"/>
      <c r="P23" s="37" t="n">
        <v>15</v>
      </c>
      <c r="Q23" s="38" t="s">
        <v>171</v>
      </c>
      <c r="R23" s="38"/>
      <c r="S23" s="39"/>
      <c r="T23" s="39"/>
      <c r="U23" s="40"/>
      <c r="V23" s="41" t="n">
        <v>3</v>
      </c>
      <c r="W23" s="38"/>
      <c r="X23" s="39"/>
      <c r="Y23" s="40"/>
      <c r="Z23" s="42" t="str">
        <f aca="false">IF(OR(U23="",V23=""),"",EDATE(U23,V23))</f>
        <v/>
      </c>
      <c r="AA23" s="43" t="str">
        <f aca="true">IF(OR(Q23="No",R23="Not applicable"),"Not applicable",IF(U23="",IF(V23="","Event-driven: set date","Not yet tested"),IF(Z23="","Event-driven",IF(Z23&lt;TODAY(),"Overdue",IF(Z23-TODAY()&lt;=30,"Due soon","On track")))))</f>
        <v>Not yet tested</v>
      </c>
    </row>
    <row r="24" customFormat="false" ht="79.85" hidden="false" customHeight="false" outlineLevel="0" collapsed="false">
      <c r="A24" s="36" t="s">
        <v>331</v>
      </c>
      <c r="B24" s="44" t="s">
        <v>332</v>
      </c>
      <c r="C24" s="44" t="s">
        <v>113</v>
      </c>
      <c r="D24" s="45" t="s">
        <v>108</v>
      </c>
      <c r="E24" s="44" t="s">
        <v>333</v>
      </c>
      <c r="F24" s="44" t="s">
        <v>334</v>
      </c>
      <c r="G24" s="45" t="s">
        <v>176</v>
      </c>
      <c r="H24" s="45" t="s">
        <v>164</v>
      </c>
      <c r="I24" s="44" t="s">
        <v>335</v>
      </c>
      <c r="J24" s="44" t="s">
        <v>336</v>
      </c>
      <c r="K24" s="44" t="s">
        <v>337</v>
      </c>
      <c r="L24" s="44" t="s">
        <v>338</v>
      </c>
      <c r="M24" s="44" t="s">
        <v>207</v>
      </c>
      <c r="N24" s="44" t="s">
        <v>208</v>
      </c>
      <c r="O24" s="44"/>
      <c r="P24" s="45" t="n">
        <v>14</v>
      </c>
      <c r="Q24" s="38" t="s">
        <v>171</v>
      </c>
      <c r="R24" s="38"/>
      <c r="S24" s="39"/>
      <c r="T24" s="39"/>
      <c r="U24" s="40"/>
      <c r="V24" s="41" t="n">
        <v>3</v>
      </c>
      <c r="W24" s="38"/>
      <c r="X24" s="39"/>
      <c r="Y24" s="40"/>
      <c r="Z24" s="42" t="str">
        <f aca="false">IF(OR(U24="",V24=""),"",EDATE(U24,V24))</f>
        <v/>
      </c>
      <c r="AA24" s="43" t="str">
        <f aca="true">IF(OR(Q24="No",R24="Not applicable"),"Not applicable",IF(U24="",IF(V24="","Event-driven: set date","Not yet tested"),IF(Z24="","Event-driven",IF(Z24&lt;TODAY(),"Overdue",IF(Z24-TODAY()&lt;=30,"Due soon","On track")))))</f>
        <v>Not yet tested</v>
      </c>
    </row>
    <row r="25" customFormat="false" ht="46.25" hidden="false" customHeight="false" outlineLevel="0" collapsed="false">
      <c r="A25" s="36" t="s">
        <v>339</v>
      </c>
      <c r="B25" s="6" t="s">
        <v>340</v>
      </c>
      <c r="C25" s="6" t="s">
        <v>113</v>
      </c>
      <c r="D25" s="37" t="s">
        <v>109</v>
      </c>
      <c r="E25" s="6" t="s">
        <v>341</v>
      </c>
      <c r="F25" s="6" t="s">
        <v>342</v>
      </c>
      <c r="G25" s="37" t="s">
        <v>176</v>
      </c>
      <c r="H25" s="37" t="s">
        <v>164</v>
      </c>
      <c r="I25" s="6" t="s">
        <v>343</v>
      </c>
      <c r="J25" s="6" t="s">
        <v>344</v>
      </c>
      <c r="K25" s="6" t="s">
        <v>345</v>
      </c>
      <c r="L25" s="6" t="s">
        <v>346</v>
      </c>
      <c r="M25" s="6" t="s">
        <v>181</v>
      </c>
      <c r="N25" s="6" t="s">
        <v>238</v>
      </c>
      <c r="O25" s="6"/>
      <c r="P25" s="37" t="n">
        <v>28</v>
      </c>
      <c r="Q25" s="38" t="s">
        <v>171</v>
      </c>
      <c r="R25" s="38"/>
      <c r="S25" s="39"/>
      <c r="T25" s="39"/>
      <c r="U25" s="40"/>
      <c r="V25" s="41" t="n">
        <v>6</v>
      </c>
      <c r="W25" s="38"/>
      <c r="X25" s="39"/>
      <c r="Y25" s="40"/>
      <c r="Z25" s="42" t="str">
        <f aca="false">IF(OR(U25="",V25=""),"",EDATE(U25,V25))</f>
        <v/>
      </c>
      <c r="AA25" s="43" t="str">
        <f aca="true">IF(OR(Q25="No",R25="Not applicable"),"Not applicable",IF(U25="",IF(V25="","Event-driven: set date","Not yet tested"),IF(Z25="","Event-driven",IF(Z25&lt;TODAY(),"Overdue",IF(Z25-TODAY()&lt;=30,"Due soon","On track")))))</f>
        <v>Not yet tested</v>
      </c>
    </row>
    <row r="26" customFormat="false" ht="46.25" hidden="false" customHeight="false" outlineLevel="0" collapsed="false">
      <c r="A26" s="36" t="s">
        <v>347</v>
      </c>
      <c r="B26" s="44" t="s">
        <v>348</v>
      </c>
      <c r="C26" s="44" t="s">
        <v>114</v>
      </c>
      <c r="D26" s="45" t="s">
        <v>108</v>
      </c>
      <c r="E26" s="44" t="s">
        <v>349</v>
      </c>
      <c r="F26" s="44" t="s">
        <v>350</v>
      </c>
      <c r="G26" s="45" t="s">
        <v>213</v>
      </c>
      <c r="H26" s="45" t="s">
        <v>164</v>
      </c>
      <c r="I26" s="44" t="s">
        <v>351</v>
      </c>
      <c r="J26" s="44" t="s">
        <v>352</v>
      </c>
      <c r="K26" s="44" t="s">
        <v>353</v>
      </c>
      <c r="L26" s="44" t="s">
        <v>354</v>
      </c>
      <c r="M26" s="44" t="s">
        <v>355</v>
      </c>
      <c r="N26" s="44" t="s">
        <v>238</v>
      </c>
      <c r="O26" s="44"/>
      <c r="P26" s="45" t="n">
        <v>19</v>
      </c>
      <c r="Q26" s="38" t="s">
        <v>171</v>
      </c>
      <c r="R26" s="38"/>
      <c r="S26" s="39"/>
      <c r="T26" s="39"/>
      <c r="U26" s="40"/>
      <c r="V26" s="41" t="n">
        <v>6</v>
      </c>
      <c r="W26" s="38"/>
      <c r="X26" s="39"/>
      <c r="Y26" s="40"/>
      <c r="Z26" s="42" t="str">
        <f aca="false">IF(OR(U26="",V26=""),"",EDATE(U26,V26))</f>
        <v/>
      </c>
      <c r="AA26" s="43" t="str">
        <f aca="true">IF(OR(Q26="No",R26="Not applicable"),"Not applicable",IF(U26="",IF(V26="","Event-driven: set date","Not yet tested"),IF(Z26="","Event-driven",IF(Z26&lt;TODAY(),"Overdue",IF(Z26-TODAY()&lt;=30,"Due soon","On track")))))</f>
        <v>Not yet tested</v>
      </c>
    </row>
    <row r="27" customFormat="false" ht="46.25" hidden="false" customHeight="false" outlineLevel="0" collapsed="false">
      <c r="A27" s="36" t="s">
        <v>356</v>
      </c>
      <c r="B27" s="6" t="s">
        <v>357</v>
      </c>
      <c r="C27" s="6" t="s">
        <v>114</v>
      </c>
      <c r="D27" s="37" t="s">
        <v>108</v>
      </c>
      <c r="E27" s="6" t="s">
        <v>358</v>
      </c>
      <c r="F27" s="6" t="s">
        <v>212</v>
      </c>
      <c r="G27" s="37" t="s">
        <v>213</v>
      </c>
      <c r="H27" s="37" t="s">
        <v>164</v>
      </c>
      <c r="I27" s="6" t="s">
        <v>359</v>
      </c>
      <c r="J27" s="6" t="s">
        <v>360</v>
      </c>
      <c r="K27" s="6" t="s">
        <v>361</v>
      </c>
      <c r="L27" s="6" t="s">
        <v>362</v>
      </c>
      <c r="M27" s="6" t="s">
        <v>323</v>
      </c>
      <c r="N27" s="6" t="s">
        <v>238</v>
      </c>
      <c r="O27" s="6"/>
      <c r="P27" s="37" t="n">
        <v>8</v>
      </c>
      <c r="Q27" s="38" t="s">
        <v>171</v>
      </c>
      <c r="R27" s="38"/>
      <c r="S27" s="39"/>
      <c r="T27" s="39"/>
      <c r="U27" s="40"/>
      <c r="V27" s="41" t="n">
        <v>6</v>
      </c>
      <c r="W27" s="38"/>
      <c r="X27" s="39"/>
      <c r="Y27" s="40"/>
      <c r="Z27" s="42" t="str">
        <f aca="false">IF(OR(U27="",V27=""),"",EDATE(U27,V27))</f>
        <v/>
      </c>
      <c r="AA27" s="43" t="str">
        <f aca="true">IF(OR(Q27="No",R27="Not applicable"),"Not applicable",IF(U27="",IF(V27="","Event-driven: set date","Not yet tested"),IF(Z27="","Event-driven",IF(Z27&lt;TODAY(),"Overdue",IF(Z27-TODAY()&lt;=30,"Due soon","On track")))))</f>
        <v>Not yet tested</v>
      </c>
    </row>
    <row r="28" customFormat="false" ht="113.4" hidden="false" customHeight="false" outlineLevel="0" collapsed="false">
      <c r="A28" s="36" t="s">
        <v>363</v>
      </c>
      <c r="B28" s="44" t="s">
        <v>364</v>
      </c>
      <c r="C28" s="44" t="s">
        <v>114</v>
      </c>
      <c r="D28" s="45" t="s">
        <v>108</v>
      </c>
      <c r="E28" s="44" t="s">
        <v>365</v>
      </c>
      <c r="F28" s="44" t="s">
        <v>366</v>
      </c>
      <c r="G28" s="45" t="s">
        <v>176</v>
      </c>
      <c r="H28" s="45" t="s">
        <v>164</v>
      </c>
      <c r="I28" s="44" t="s">
        <v>367</v>
      </c>
      <c r="J28" s="44" t="s">
        <v>368</v>
      </c>
      <c r="K28" s="44" t="s">
        <v>369</v>
      </c>
      <c r="L28" s="44" t="s">
        <v>370</v>
      </c>
      <c r="M28" s="44" t="s">
        <v>218</v>
      </c>
      <c r="N28" s="44" t="s">
        <v>170</v>
      </c>
      <c r="O28" s="44"/>
      <c r="P28" s="45" t="n">
        <v>16</v>
      </c>
      <c r="Q28" s="38" t="s">
        <v>171</v>
      </c>
      <c r="R28" s="38"/>
      <c r="S28" s="39"/>
      <c r="T28" s="39"/>
      <c r="U28" s="40"/>
      <c r="V28" s="41" t="n">
        <v>3</v>
      </c>
      <c r="W28" s="38"/>
      <c r="X28" s="39"/>
      <c r="Y28" s="40"/>
      <c r="Z28" s="42" t="str">
        <f aca="false">IF(OR(U28="",V28=""),"",EDATE(U28,V28))</f>
        <v/>
      </c>
      <c r="AA28" s="43" t="str">
        <f aca="true">IF(OR(Q28="No",R28="Not applicable"),"Not applicable",IF(U28="",IF(V28="","Event-driven: set date","Not yet tested"),IF(Z28="","Event-driven",IF(Z28&lt;TODAY(),"Overdue",IF(Z28-TODAY()&lt;=30,"Due soon","On track")))))</f>
        <v>Not yet tested</v>
      </c>
    </row>
    <row r="29" customFormat="false" ht="191.75" hidden="false" customHeight="false" outlineLevel="0" collapsed="false">
      <c r="A29" s="36" t="s">
        <v>371</v>
      </c>
      <c r="B29" s="6" t="s">
        <v>372</v>
      </c>
      <c r="C29" s="6" t="s">
        <v>114</v>
      </c>
      <c r="D29" s="37" t="s">
        <v>108</v>
      </c>
      <c r="E29" s="6" t="s">
        <v>373</v>
      </c>
      <c r="F29" s="6" t="s">
        <v>374</v>
      </c>
      <c r="G29" s="37" t="s">
        <v>242</v>
      </c>
      <c r="H29" s="37" t="s">
        <v>164</v>
      </c>
      <c r="I29" s="6" t="s">
        <v>375</v>
      </c>
      <c r="J29" s="6" t="s">
        <v>376</v>
      </c>
      <c r="K29" s="6" t="s">
        <v>377</v>
      </c>
      <c r="L29" s="6" t="s">
        <v>378</v>
      </c>
      <c r="M29" s="6" t="s">
        <v>379</v>
      </c>
      <c r="N29" s="6" t="s">
        <v>238</v>
      </c>
      <c r="O29" s="6"/>
      <c r="P29" s="37" t="n">
        <v>13</v>
      </c>
      <c r="Q29" s="38" t="s">
        <v>171</v>
      </c>
      <c r="R29" s="38"/>
      <c r="S29" s="39"/>
      <c r="T29" s="39"/>
      <c r="U29" s="40"/>
      <c r="V29" s="41" t="n">
        <v>6</v>
      </c>
      <c r="W29" s="38"/>
      <c r="X29" s="39"/>
      <c r="Y29" s="40"/>
      <c r="Z29" s="42" t="str">
        <f aca="false">IF(OR(U29="",V29=""),"",EDATE(U29,V29))</f>
        <v/>
      </c>
      <c r="AA29" s="43" t="str">
        <f aca="true">IF(OR(Q29="No",R29="Not applicable"),"Not applicable",IF(U29="",IF(V29="","Event-driven: set date","Not yet tested"),IF(Z29="","Event-driven",IF(Z29&lt;TODAY(),"Overdue",IF(Z29-TODAY()&lt;=30,"Due soon","On track")))))</f>
        <v>Not yet tested</v>
      </c>
    </row>
    <row r="30" customFormat="false" ht="102.2" hidden="false" customHeight="false" outlineLevel="0" collapsed="false">
      <c r="A30" s="36" t="s">
        <v>380</v>
      </c>
      <c r="B30" s="44" t="s">
        <v>381</v>
      </c>
      <c r="C30" s="44" t="s">
        <v>114</v>
      </c>
      <c r="D30" s="45" t="s">
        <v>109</v>
      </c>
      <c r="E30" s="44" t="s">
        <v>382</v>
      </c>
      <c r="F30" s="44" t="s">
        <v>350</v>
      </c>
      <c r="G30" s="45" t="s">
        <v>176</v>
      </c>
      <c r="H30" s="45" t="s">
        <v>164</v>
      </c>
      <c r="I30" s="44" t="s">
        <v>383</v>
      </c>
      <c r="J30" s="44" t="s">
        <v>384</v>
      </c>
      <c r="K30" s="44" t="s">
        <v>385</v>
      </c>
      <c r="L30" s="44" t="s">
        <v>386</v>
      </c>
      <c r="M30" s="44" t="s">
        <v>323</v>
      </c>
      <c r="N30" s="44" t="s">
        <v>238</v>
      </c>
      <c r="O30" s="44"/>
      <c r="P30" s="45" t="n">
        <v>9</v>
      </c>
      <c r="Q30" s="38" t="s">
        <v>171</v>
      </c>
      <c r="R30" s="38"/>
      <c r="S30" s="39"/>
      <c r="T30" s="39"/>
      <c r="U30" s="40"/>
      <c r="V30" s="41" t="n">
        <v>6</v>
      </c>
      <c r="W30" s="38"/>
      <c r="X30" s="39"/>
      <c r="Y30" s="40"/>
      <c r="Z30" s="42" t="str">
        <f aca="false">IF(OR(U30="",V30=""),"",EDATE(U30,V30))</f>
        <v/>
      </c>
      <c r="AA30" s="43" t="str">
        <f aca="true">IF(OR(Q30="No",R30="Not applicable"),"Not applicable",IF(U30="",IF(V30="","Event-driven: set date","Not yet tested"),IF(Z30="","Event-driven",IF(Z30&lt;TODAY(),"Overdue",IF(Z30-TODAY()&lt;=30,"Due soon","On track")))))</f>
        <v>Not yet tested</v>
      </c>
    </row>
    <row r="31" customFormat="false" ht="46.25" hidden="false" customHeight="false" outlineLevel="0" collapsed="false">
      <c r="A31" s="36" t="s">
        <v>387</v>
      </c>
      <c r="B31" s="6" t="s">
        <v>388</v>
      </c>
      <c r="C31" s="6" t="s">
        <v>114</v>
      </c>
      <c r="D31" s="37" t="s">
        <v>108</v>
      </c>
      <c r="E31" s="6" t="s">
        <v>389</v>
      </c>
      <c r="F31" s="6" t="s">
        <v>212</v>
      </c>
      <c r="G31" s="37" t="s">
        <v>233</v>
      </c>
      <c r="H31" s="37" t="s">
        <v>164</v>
      </c>
      <c r="I31" s="6" t="s">
        <v>390</v>
      </c>
      <c r="J31" s="6" t="s">
        <v>391</v>
      </c>
      <c r="K31" s="6" t="s">
        <v>392</v>
      </c>
      <c r="L31" s="6" t="s">
        <v>393</v>
      </c>
      <c r="M31" s="6" t="s">
        <v>394</v>
      </c>
      <c r="N31" s="6" t="s">
        <v>238</v>
      </c>
      <c r="O31" s="6"/>
      <c r="P31" s="37" t="n">
        <v>12</v>
      </c>
      <c r="Q31" s="38" t="s">
        <v>171</v>
      </c>
      <c r="R31" s="38"/>
      <c r="S31" s="39"/>
      <c r="T31" s="39"/>
      <c r="U31" s="40"/>
      <c r="V31" s="41" t="n">
        <v>6</v>
      </c>
      <c r="W31" s="38"/>
      <c r="X31" s="39"/>
      <c r="Y31" s="40"/>
      <c r="Z31" s="42" t="str">
        <f aca="false">IF(OR(U31="",V31=""),"",EDATE(U31,V31))</f>
        <v/>
      </c>
      <c r="AA31" s="43" t="str">
        <f aca="true">IF(OR(Q31="No",R31="Not applicable"),"Not applicable",IF(U31="",IF(V31="","Event-driven: set date","Not yet tested"),IF(Z31="","Event-driven",IF(Z31&lt;TODAY(),"Overdue",IF(Z31-TODAY()&lt;=30,"Due soon","On track")))))</f>
        <v>Not yet tested</v>
      </c>
    </row>
    <row r="32" customFormat="false" ht="46.25" hidden="false" customHeight="false" outlineLevel="0" collapsed="false">
      <c r="A32" s="36" t="s">
        <v>395</v>
      </c>
      <c r="B32" s="44" t="s">
        <v>396</v>
      </c>
      <c r="C32" s="44" t="s">
        <v>119</v>
      </c>
      <c r="D32" s="45" t="s">
        <v>109</v>
      </c>
      <c r="E32" s="44" t="s">
        <v>397</v>
      </c>
      <c r="F32" s="44" t="s">
        <v>202</v>
      </c>
      <c r="G32" s="45" t="s">
        <v>233</v>
      </c>
      <c r="H32" s="45" t="s">
        <v>398</v>
      </c>
      <c r="I32" s="44" t="s">
        <v>399</v>
      </c>
      <c r="J32" s="44" t="s">
        <v>400</v>
      </c>
      <c r="K32" s="44" t="s">
        <v>401</v>
      </c>
      <c r="L32" s="44" t="s">
        <v>402</v>
      </c>
      <c r="M32" s="44" t="s">
        <v>403</v>
      </c>
      <c r="N32" s="44" t="s">
        <v>238</v>
      </c>
      <c r="O32" s="44"/>
      <c r="P32" s="45" t="n">
        <v>20</v>
      </c>
      <c r="Q32" s="38" t="s">
        <v>171</v>
      </c>
      <c r="R32" s="38"/>
      <c r="S32" s="39"/>
      <c r="T32" s="39"/>
      <c r="U32" s="40"/>
      <c r="V32" s="41" t="n">
        <v>6</v>
      </c>
      <c r="W32" s="38"/>
      <c r="X32" s="39"/>
      <c r="Y32" s="40"/>
      <c r="Z32" s="42" t="str">
        <f aca="false">IF(OR(U32="",V32=""),"",EDATE(U32,V32))</f>
        <v/>
      </c>
      <c r="AA32" s="43" t="str">
        <f aca="true">IF(OR(Q32="No",R32="Not applicable"),"Not applicable",IF(U32="",IF(V32="","Event-driven: set date","Not yet tested"),IF(Z32="","Event-driven",IF(Z32&lt;TODAY(),"Overdue",IF(Z32-TODAY()&lt;=30,"Due soon","On track")))))</f>
        <v>Not yet tested</v>
      </c>
    </row>
    <row r="33" customFormat="false" ht="124.6" hidden="false" customHeight="false" outlineLevel="0" collapsed="false">
      <c r="A33" s="36" t="s">
        <v>404</v>
      </c>
      <c r="B33" s="6" t="s">
        <v>405</v>
      </c>
      <c r="C33" s="6" t="s">
        <v>119</v>
      </c>
      <c r="D33" s="37" t="s">
        <v>109</v>
      </c>
      <c r="E33" s="6" t="s">
        <v>406</v>
      </c>
      <c r="F33" s="6" t="s">
        <v>407</v>
      </c>
      <c r="G33" s="37" t="s">
        <v>176</v>
      </c>
      <c r="H33" s="37" t="s">
        <v>164</v>
      </c>
      <c r="I33" s="6" t="s">
        <v>399</v>
      </c>
      <c r="J33" s="6" t="s">
        <v>408</v>
      </c>
      <c r="K33" s="6" t="s">
        <v>409</v>
      </c>
      <c r="L33" s="6" t="s">
        <v>410</v>
      </c>
      <c r="M33" s="6" t="s">
        <v>411</v>
      </c>
      <c r="N33" s="6" t="s">
        <v>412</v>
      </c>
      <c r="O33" s="6"/>
      <c r="P33" s="37" t="n">
        <v>18</v>
      </c>
      <c r="Q33" s="38" t="s">
        <v>171</v>
      </c>
      <c r="R33" s="38"/>
      <c r="S33" s="39"/>
      <c r="T33" s="39"/>
      <c r="U33" s="40"/>
      <c r="V33" s="41"/>
      <c r="W33" s="38"/>
      <c r="X33" s="39"/>
      <c r="Y33" s="40"/>
      <c r="Z33" s="42" t="str">
        <f aca="false">IF(OR(U33="",V33=""),"",EDATE(U33,V33))</f>
        <v/>
      </c>
      <c r="AA33" s="43" t="str">
        <f aca="true">IF(OR(Q33="No",R33="Not applicable"),"Not applicable",IF(U33="",IF(V33="","Event-driven: set date","Not yet tested"),IF(Z33="","Event-driven",IF(Z33&lt;TODAY(),"Overdue",IF(Z33-TODAY()&lt;=30,"Due soon","On track")))))</f>
        <v>Event-driven: set date</v>
      </c>
    </row>
    <row r="34" customFormat="false" ht="46.25" hidden="false" customHeight="false" outlineLevel="0" collapsed="false">
      <c r="A34" s="36" t="s">
        <v>413</v>
      </c>
      <c r="B34" s="44" t="s">
        <v>414</v>
      </c>
      <c r="C34" s="44" t="s">
        <v>119</v>
      </c>
      <c r="D34" s="45" t="s">
        <v>109</v>
      </c>
      <c r="E34" s="44" t="s">
        <v>415</v>
      </c>
      <c r="F34" s="44" t="s">
        <v>407</v>
      </c>
      <c r="G34" s="45" t="s">
        <v>233</v>
      </c>
      <c r="H34" s="45" t="s">
        <v>398</v>
      </c>
      <c r="I34" s="44" t="s">
        <v>399</v>
      </c>
      <c r="J34" s="44" t="s">
        <v>416</v>
      </c>
      <c r="K34" s="44" t="s">
        <v>417</v>
      </c>
      <c r="L34" s="44" t="s">
        <v>418</v>
      </c>
      <c r="M34" s="44" t="s">
        <v>419</v>
      </c>
      <c r="N34" s="44" t="s">
        <v>238</v>
      </c>
      <c r="O34" s="44"/>
      <c r="P34" s="45" t="n">
        <v>16</v>
      </c>
      <c r="Q34" s="38" t="s">
        <v>171</v>
      </c>
      <c r="R34" s="38"/>
      <c r="S34" s="39"/>
      <c r="T34" s="39"/>
      <c r="U34" s="40"/>
      <c r="V34" s="41" t="n">
        <v>6</v>
      </c>
      <c r="W34" s="38"/>
      <c r="X34" s="39"/>
      <c r="Y34" s="40"/>
      <c r="Z34" s="42" t="str">
        <f aca="false">IF(OR(U34="",V34=""),"",EDATE(U34,V34))</f>
        <v/>
      </c>
      <c r="AA34" s="43" t="str">
        <f aca="true">IF(OR(Q34="No",R34="Not applicable"),"Not applicable",IF(U34="",IF(V34="","Event-driven: set date","Not yet tested"),IF(Z34="","Event-driven",IF(Z34&lt;TODAY(),"Overdue",IF(Z34-TODAY()&lt;=30,"Due soon","On track")))))</f>
        <v>Not yet tested</v>
      </c>
    </row>
    <row r="35" customFormat="false" ht="158.2" hidden="false" customHeight="false" outlineLevel="0" collapsed="false">
      <c r="A35" s="36" t="s">
        <v>420</v>
      </c>
      <c r="B35" s="6" t="s">
        <v>421</v>
      </c>
      <c r="C35" s="6" t="s">
        <v>120</v>
      </c>
      <c r="D35" s="37" t="s">
        <v>109</v>
      </c>
      <c r="E35" s="6" t="s">
        <v>422</v>
      </c>
      <c r="F35" s="6" t="s">
        <v>423</v>
      </c>
      <c r="G35" s="37" t="s">
        <v>176</v>
      </c>
      <c r="H35" s="37" t="s">
        <v>164</v>
      </c>
      <c r="I35" s="6" t="s">
        <v>424</v>
      </c>
      <c r="J35" s="6" t="s">
        <v>425</v>
      </c>
      <c r="K35" s="6" t="s">
        <v>426</v>
      </c>
      <c r="L35" s="6" t="s">
        <v>427</v>
      </c>
      <c r="M35" s="6" t="s">
        <v>198</v>
      </c>
      <c r="N35" s="6" t="s">
        <v>170</v>
      </c>
      <c r="O35" s="6"/>
      <c r="P35" s="37" t="n">
        <v>25</v>
      </c>
      <c r="Q35" s="38" t="s">
        <v>171</v>
      </c>
      <c r="R35" s="38"/>
      <c r="S35" s="39"/>
      <c r="T35" s="39"/>
      <c r="U35" s="40"/>
      <c r="V35" s="41" t="n">
        <v>3</v>
      </c>
      <c r="W35" s="38"/>
      <c r="X35" s="39"/>
      <c r="Y35" s="40"/>
      <c r="Z35" s="42" t="str">
        <f aca="false">IF(OR(U35="",V35=""),"",EDATE(U35,V35))</f>
        <v/>
      </c>
      <c r="AA35" s="43" t="str">
        <f aca="true">IF(OR(Q35="No",R35="Not applicable"),"Not applicable",IF(U35="",IF(V35="","Event-driven: set date","Not yet tested"),IF(Z35="","Event-driven",IF(Z35&lt;TODAY(),"Overdue",IF(Z35-TODAY()&lt;=30,"Due soon","On track")))))</f>
        <v>Not yet tested</v>
      </c>
    </row>
    <row r="36" customFormat="false" ht="79.85" hidden="false" customHeight="false" outlineLevel="0" collapsed="false">
      <c r="A36" s="36" t="s">
        <v>428</v>
      </c>
      <c r="B36" s="44" t="s">
        <v>429</v>
      </c>
      <c r="C36" s="44" t="s">
        <v>120</v>
      </c>
      <c r="D36" s="45" t="s">
        <v>109</v>
      </c>
      <c r="E36" s="44" t="s">
        <v>430</v>
      </c>
      <c r="F36" s="44" t="s">
        <v>407</v>
      </c>
      <c r="G36" s="45" t="s">
        <v>233</v>
      </c>
      <c r="H36" s="45" t="s">
        <v>398</v>
      </c>
      <c r="I36" s="44" t="s">
        <v>431</v>
      </c>
      <c r="J36" s="44" t="s">
        <v>432</v>
      </c>
      <c r="K36" s="44" t="s">
        <v>433</v>
      </c>
      <c r="L36" s="44" t="s">
        <v>434</v>
      </c>
      <c r="M36" s="44" t="s">
        <v>394</v>
      </c>
      <c r="N36" s="44" t="s">
        <v>238</v>
      </c>
      <c r="O36" s="44"/>
      <c r="P36" s="45" t="n">
        <v>27</v>
      </c>
      <c r="Q36" s="38" t="s">
        <v>171</v>
      </c>
      <c r="R36" s="38"/>
      <c r="S36" s="39"/>
      <c r="T36" s="39"/>
      <c r="U36" s="40"/>
      <c r="V36" s="41" t="n">
        <v>6</v>
      </c>
      <c r="W36" s="38"/>
      <c r="X36" s="39"/>
      <c r="Y36" s="40"/>
      <c r="Z36" s="42" t="str">
        <f aca="false">IF(OR(U36="",V36=""),"",EDATE(U36,V36))</f>
        <v/>
      </c>
      <c r="AA36" s="43" t="str">
        <f aca="true">IF(OR(Q36="No",R36="Not applicable"),"Not applicable",IF(U36="",IF(V36="","Event-driven: set date","Not yet tested"),IF(Z36="","Event-driven",IF(Z36&lt;TODAY(),"Overdue",IF(Z36-TODAY()&lt;=30,"Due soon","On track")))))</f>
        <v>Not yet tested</v>
      </c>
    </row>
    <row r="37" customFormat="false" ht="113.4" hidden="false" customHeight="false" outlineLevel="0" collapsed="false">
      <c r="A37" s="36" t="s">
        <v>435</v>
      </c>
      <c r="B37" s="6" t="s">
        <v>436</v>
      </c>
      <c r="C37" s="6" t="s">
        <v>121</v>
      </c>
      <c r="D37" s="37" t="s">
        <v>108</v>
      </c>
      <c r="E37" s="6" t="s">
        <v>437</v>
      </c>
      <c r="F37" s="6" t="s">
        <v>438</v>
      </c>
      <c r="G37" s="37" t="s">
        <v>176</v>
      </c>
      <c r="H37" s="37" t="s">
        <v>164</v>
      </c>
      <c r="I37" s="6" t="s">
        <v>439</v>
      </c>
      <c r="J37" s="6" t="s">
        <v>440</v>
      </c>
      <c r="K37" s="6" t="s">
        <v>441</v>
      </c>
      <c r="L37" s="6" t="s">
        <v>442</v>
      </c>
      <c r="M37" s="6" t="s">
        <v>355</v>
      </c>
      <c r="N37" s="6" t="s">
        <v>443</v>
      </c>
      <c r="O37" s="6"/>
      <c r="P37" s="37" t="n">
        <v>8</v>
      </c>
      <c r="Q37" s="38" t="s">
        <v>171</v>
      </c>
      <c r="R37" s="38"/>
      <c r="S37" s="39"/>
      <c r="T37" s="39"/>
      <c r="U37" s="40"/>
      <c r="V37" s="41" t="n">
        <v>12</v>
      </c>
      <c r="W37" s="38"/>
      <c r="X37" s="39"/>
      <c r="Y37" s="40"/>
      <c r="Z37" s="42" t="str">
        <f aca="false">IF(OR(U37="",V37=""),"",EDATE(U37,V37))</f>
        <v/>
      </c>
      <c r="AA37" s="43" t="str">
        <f aca="true">IF(OR(Q37="No",R37="Not applicable"),"Not applicable",IF(U37="",IF(V37="","Event-driven: set date","Not yet tested"),IF(Z37="","Event-driven",IF(Z37&lt;TODAY(),"Overdue",IF(Z37-TODAY()&lt;=30,"Due soon","On track")))))</f>
        <v>Not yet tested</v>
      </c>
    </row>
    <row r="38" customFormat="false" ht="214.15" hidden="false" customHeight="false" outlineLevel="0" collapsed="false">
      <c r="A38" s="36" t="s">
        <v>444</v>
      </c>
      <c r="B38" s="44" t="s">
        <v>445</v>
      </c>
      <c r="C38" s="44" t="s">
        <v>121</v>
      </c>
      <c r="D38" s="45" t="s">
        <v>109</v>
      </c>
      <c r="E38" s="44" t="s">
        <v>446</v>
      </c>
      <c r="F38" s="44" t="s">
        <v>318</v>
      </c>
      <c r="G38" s="45" t="s">
        <v>176</v>
      </c>
      <c r="H38" s="45" t="s">
        <v>164</v>
      </c>
      <c r="I38" s="44" t="s">
        <v>447</v>
      </c>
      <c r="J38" s="44" t="s">
        <v>448</v>
      </c>
      <c r="K38" s="44" t="s">
        <v>449</v>
      </c>
      <c r="L38" s="44" t="s">
        <v>450</v>
      </c>
      <c r="M38" s="44" t="s">
        <v>451</v>
      </c>
      <c r="N38" s="44" t="s">
        <v>452</v>
      </c>
      <c r="O38" s="44"/>
      <c r="P38" s="45" t="n">
        <v>38</v>
      </c>
      <c r="Q38" s="38" t="s">
        <v>171</v>
      </c>
      <c r="R38" s="38"/>
      <c r="S38" s="39"/>
      <c r="T38" s="39"/>
      <c r="U38" s="40"/>
      <c r="V38" s="41"/>
      <c r="W38" s="38"/>
      <c r="X38" s="39"/>
      <c r="Y38" s="40"/>
      <c r="Z38" s="42" t="str">
        <f aca="false">IF(OR(U38="",V38=""),"",EDATE(U38,V38))</f>
        <v/>
      </c>
      <c r="AA38" s="43" t="str">
        <f aca="true">IF(OR(Q38="No",R38="Not applicable"),"Not applicable",IF(U38="",IF(V38="","Event-driven: set date","Not yet tested"),IF(Z38="","Event-driven",IF(Z38&lt;TODAY(),"Overdue",IF(Z38-TODAY()&lt;=30,"Due soon","On track")))))</f>
        <v>Event-driven: set date</v>
      </c>
    </row>
    <row r="39" customFormat="false" ht="102.2" hidden="false" customHeight="false" outlineLevel="0" collapsed="false">
      <c r="A39" s="36" t="s">
        <v>453</v>
      </c>
      <c r="B39" s="6" t="s">
        <v>454</v>
      </c>
      <c r="C39" s="6" t="s">
        <v>116</v>
      </c>
      <c r="D39" s="37" t="s">
        <v>108</v>
      </c>
      <c r="E39" s="6" t="s">
        <v>455</v>
      </c>
      <c r="F39" s="6" t="s">
        <v>222</v>
      </c>
      <c r="G39" s="37" t="s">
        <v>242</v>
      </c>
      <c r="H39" s="37" t="s">
        <v>164</v>
      </c>
      <c r="I39" s="6" t="s">
        <v>456</v>
      </c>
      <c r="J39" s="6" t="s">
        <v>457</v>
      </c>
      <c r="K39" s="6" t="s">
        <v>458</v>
      </c>
      <c r="L39" s="6" t="s">
        <v>459</v>
      </c>
      <c r="M39" s="6" t="s">
        <v>460</v>
      </c>
      <c r="N39" s="6" t="s">
        <v>461</v>
      </c>
      <c r="O39" s="6"/>
      <c r="P39" s="37" t="n">
        <v>40</v>
      </c>
      <c r="Q39" s="38" t="s">
        <v>171</v>
      </c>
      <c r="R39" s="38"/>
      <c r="S39" s="39"/>
      <c r="T39" s="39"/>
      <c r="U39" s="40"/>
      <c r="V39" s="41" t="n">
        <v>12</v>
      </c>
      <c r="W39" s="38"/>
      <c r="X39" s="39"/>
      <c r="Y39" s="40"/>
      <c r="Z39" s="42" t="str">
        <f aca="false">IF(OR(U39="",V39=""),"",EDATE(U39,V39))</f>
        <v/>
      </c>
      <c r="AA39" s="43" t="str">
        <f aca="true">IF(OR(Q39="No",R39="Not applicable"),"Not applicable",IF(U39="",IF(V39="","Event-driven: set date","Not yet tested"),IF(Z39="","Event-driven",IF(Z39&lt;TODAY(),"Overdue",IF(Z39-TODAY()&lt;=30,"Due soon","On track")))))</f>
        <v>Not yet tested</v>
      </c>
    </row>
    <row r="40" customFormat="false" ht="46.25" hidden="false" customHeight="false" outlineLevel="0" collapsed="false">
      <c r="A40" s="36" t="s">
        <v>462</v>
      </c>
      <c r="B40" s="44" t="s">
        <v>463</v>
      </c>
      <c r="C40" s="44" t="s">
        <v>122</v>
      </c>
      <c r="D40" s="45" t="s">
        <v>108</v>
      </c>
      <c r="E40" s="44" t="s">
        <v>464</v>
      </c>
      <c r="F40" s="44" t="s">
        <v>294</v>
      </c>
      <c r="G40" s="45" t="s">
        <v>233</v>
      </c>
      <c r="H40" s="45" t="s">
        <v>164</v>
      </c>
      <c r="I40" s="44" t="s">
        <v>465</v>
      </c>
      <c r="J40" s="44" t="s">
        <v>466</v>
      </c>
      <c r="K40" s="44" t="s">
        <v>467</v>
      </c>
      <c r="L40" s="44" t="s">
        <v>468</v>
      </c>
      <c r="M40" s="44" t="s">
        <v>469</v>
      </c>
      <c r="N40" s="44" t="s">
        <v>170</v>
      </c>
      <c r="O40" s="44"/>
      <c r="P40" s="45" t="n">
        <v>30</v>
      </c>
      <c r="Q40" s="38" t="s">
        <v>171</v>
      </c>
      <c r="R40" s="38"/>
      <c r="S40" s="39"/>
      <c r="T40" s="39"/>
      <c r="U40" s="40"/>
      <c r="V40" s="41" t="n">
        <v>3</v>
      </c>
      <c r="W40" s="38"/>
      <c r="X40" s="39"/>
      <c r="Y40" s="40"/>
      <c r="Z40" s="42" t="str">
        <f aca="false">IF(OR(U40="",V40=""),"",EDATE(U40,V40))</f>
        <v/>
      </c>
      <c r="AA40" s="43" t="str">
        <f aca="true">IF(OR(Q40="No",R40="Not applicable"),"Not applicable",IF(U40="",IF(V40="","Event-driven: set date","Not yet tested"),IF(Z40="","Event-driven",IF(Z40&lt;TODAY(),"Overdue",IF(Z40-TODAY()&lt;=30,"Due soon","On track")))))</f>
        <v>Not yet tested</v>
      </c>
    </row>
    <row r="41" customFormat="false" ht="113.4" hidden="false" customHeight="false" outlineLevel="0" collapsed="false">
      <c r="A41" s="36" t="s">
        <v>470</v>
      </c>
      <c r="B41" s="6" t="s">
        <v>471</v>
      </c>
      <c r="C41" s="6" t="s">
        <v>115</v>
      </c>
      <c r="D41" s="37" t="s">
        <v>109</v>
      </c>
      <c r="E41" s="6" t="s">
        <v>472</v>
      </c>
      <c r="F41" s="6" t="s">
        <v>222</v>
      </c>
      <c r="G41" s="37" t="s">
        <v>213</v>
      </c>
      <c r="H41" s="37" t="s">
        <v>164</v>
      </c>
      <c r="I41" s="6" t="s">
        <v>473</v>
      </c>
      <c r="J41" s="6" t="s">
        <v>474</v>
      </c>
      <c r="K41" s="6" t="s">
        <v>475</v>
      </c>
      <c r="L41" s="6" t="s">
        <v>476</v>
      </c>
      <c r="M41" s="6" t="s">
        <v>477</v>
      </c>
      <c r="N41" s="6" t="s">
        <v>170</v>
      </c>
      <c r="O41" s="6"/>
      <c r="P41" s="37" t="n">
        <v>10</v>
      </c>
      <c r="Q41" s="38" t="s">
        <v>171</v>
      </c>
      <c r="R41" s="38"/>
      <c r="S41" s="39"/>
      <c r="T41" s="39"/>
      <c r="U41" s="40"/>
      <c r="V41" s="41" t="n">
        <v>3</v>
      </c>
      <c r="W41" s="38"/>
      <c r="X41" s="39"/>
      <c r="Y41" s="40"/>
      <c r="Z41" s="42" t="str">
        <f aca="false">IF(OR(U41="",V41=""),"",EDATE(U41,V41))</f>
        <v/>
      </c>
      <c r="AA41" s="43" t="str">
        <f aca="true">IF(OR(Q41="No",R41="Not applicable"),"Not applicable",IF(U41="",IF(V41="","Event-driven: set date","Not yet tested"),IF(Z41="","Event-driven",IF(Z41&lt;TODAY(),"Overdue",IF(Z41-TODAY()&lt;=30,"Due soon","On track")))))</f>
        <v>Not yet tested</v>
      </c>
    </row>
    <row r="42" customFormat="false" ht="57.45" hidden="false" customHeight="false" outlineLevel="0" collapsed="false">
      <c r="A42" s="36" t="s">
        <v>478</v>
      </c>
      <c r="B42" s="44" t="s">
        <v>479</v>
      </c>
      <c r="C42" s="44" t="s">
        <v>121</v>
      </c>
      <c r="D42" s="45" t="s">
        <v>109</v>
      </c>
      <c r="E42" s="44" t="s">
        <v>480</v>
      </c>
      <c r="F42" s="44" t="s">
        <v>222</v>
      </c>
      <c r="G42" s="45" t="s">
        <v>242</v>
      </c>
      <c r="H42" s="45" t="s">
        <v>164</v>
      </c>
      <c r="I42" s="44" t="s">
        <v>481</v>
      </c>
      <c r="J42" s="44" t="s">
        <v>482</v>
      </c>
      <c r="K42" s="44" t="s">
        <v>483</v>
      </c>
      <c r="L42" s="44" t="s">
        <v>484</v>
      </c>
      <c r="M42" s="44" t="s">
        <v>485</v>
      </c>
      <c r="N42" s="44" t="s">
        <v>170</v>
      </c>
      <c r="O42" s="44"/>
      <c r="P42" s="45" t="n">
        <v>17</v>
      </c>
      <c r="Q42" s="38" t="s">
        <v>171</v>
      </c>
      <c r="R42" s="38"/>
      <c r="S42" s="39"/>
      <c r="T42" s="39"/>
      <c r="U42" s="40"/>
      <c r="V42" s="41" t="n">
        <v>3</v>
      </c>
      <c r="W42" s="38"/>
      <c r="X42" s="39"/>
      <c r="Y42" s="40"/>
      <c r="Z42" s="42" t="str">
        <f aca="false">IF(OR(U42="",V42=""),"",EDATE(U42,V42))</f>
        <v/>
      </c>
      <c r="AA42" s="43" t="str">
        <f aca="true">IF(OR(Q42="No",R42="Not applicable"),"Not applicable",IF(U42="",IF(V42="","Event-driven: set date","Not yet tested"),IF(Z42="","Event-driven",IF(Z42&lt;TODAY(),"Overdue",IF(Z42-TODAY()&lt;=30,"Due soon","On track")))))</f>
        <v>Not yet tested</v>
      </c>
    </row>
    <row r="43" customFormat="false" ht="57.45" hidden="false" customHeight="false" outlineLevel="0" collapsed="false">
      <c r="A43" s="36" t="s">
        <v>486</v>
      </c>
      <c r="B43" s="6" t="s">
        <v>487</v>
      </c>
      <c r="C43" s="6" t="s">
        <v>113</v>
      </c>
      <c r="D43" s="37" t="s">
        <v>109</v>
      </c>
      <c r="E43" s="6" t="s">
        <v>488</v>
      </c>
      <c r="F43" s="6" t="s">
        <v>489</v>
      </c>
      <c r="G43" s="37" t="s">
        <v>176</v>
      </c>
      <c r="H43" s="37" t="s">
        <v>164</v>
      </c>
      <c r="I43" s="6" t="s">
        <v>490</v>
      </c>
      <c r="J43" s="6" t="s">
        <v>491</v>
      </c>
      <c r="K43" s="6" t="s">
        <v>492</v>
      </c>
      <c r="L43" s="6" t="s">
        <v>493</v>
      </c>
      <c r="M43" s="6" t="s">
        <v>494</v>
      </c>
      <c r="N43" s="6" t="s">
        <v>208</v>
      </c>
      <c r="O43" s="6"/>
      <c r="P43" s="37" t="n">
        <v>9</v>
      </c>
      <c r="Q43" s="38" t="s">
        <v>171</v>
      </c>
      <c r="R43" s="38"/>
      <c r="S43" s="39"/>
      <c r="T43" s="39"/>
      <c r="U43" s="40"/>
      <c r="V43" s="41" t="n">
        <v>3</v>
      </c>
      <c r="W43" s="38"/>
      <c r="X43" s="39"/>
      <c r="Y43" s="40"/>
      <c r="Z43" s="42" t="str">
        <f aca="false">IF(OR(U43="",V43=""),"",EDATE(U43,V43))</f>
        <v/>
      </c>
      <c r="AA43" s="43" t="str">
        <f aca="true">IF(OR(Q43="No",R43="Not applicable"),"Not applicable",IF(U43="",IF(V43="","Event-driven: set date","Not yet tested"),IF(Z43="","Event-driven",IF(Z43&lt;TODAY(),"Overdue",IF(Z43-TODAY()&lt;=30,"Due soon","On track")))))</f>
        <v>Not yet tested</v>
      </c>
    </row>
    <row r="44" customFormat="false" ht="68.65" hidden="false" customHeight="false" outlineLevel="0" collapsed="false">
      <c r="A44" s="36" t="s">
        <v>495</v>
      </c>
      <c r="B44" s="44" t="s">
        <v>496</v>
      </c>
      <c r="C44" s="44" t="s">
        <v>120</v>
      </c>
      <c r="D44" s="45" t="s">
        <v>109</v>
      </c>
      <c r="E44" s="44" t="s">
        <v>497</v>
      </c>
      <c r="F44" s="44" t="s">
        <v>498</v>
      </c>
      <c r="G44" s="45" t="s">
        <v>233</v>
      </c>
      <c r="H44" s="45" t="s">
        <v>164</v>
      </c>
      <c r="I44" s="44" t="s">
        <v>499</v>
      </c>
      <c r="J44" s="44" t="s">
        <v>500</v>
      </c>
      <c r="K44" s="44" t="s">
        <v>501</v>
      </c>
      <c r="L44" s="44" t="s">
        <v>502</v>
      </c>
      <c r="M44" s="44" t="s">
        <v>503</v>
      </c>
      <c r="N44" s="44" t="s">
        <v>238</v>
      </c>
      <c r="O44" s="44"/>
      <c r="P44" s="45" t="n">
        <v>14</v>
      </c>
      <c r="Q44" s="38" t="s">
        <v>171</v>
      </c>
      <c r="R44" s="38"/>
      <c r="S44" s="39"/>
      <c r="T44" s="39"/>
      <c r="U44" s="40"/>
      <c r="V44" s="41" t="n">
        <v>6</v>
      </c>
      <c r="W44" s="38"/>
      <c r="X44" s="39"/>
      <c r="Y44" s="40"/>
      <c r="Z44" s="42" t="str">
        <f aca="false">IF(OR(U44="",V44=""),"",EDATE(U44,V44))</f>
        <v/>
      </c>
      <c r="AA44" s="43" t="str">
        <f aca="true">IF(OR(Q44="No",R44="Not applicable"),"Not applicable",IF(U44="",IF(V44="","Event-driven: set date","Not yet tested"),IF(Z44="","Event-driven",IF(Z44&lt;TODAY(),"Overdue",IF(Z44-TODAY()&lt;=30,"Due soon","On track")))))</f>
        <v>Not yet tested</v>
      </c>
    </row>
    <row r="45" customFormat="false" ht="180.55" hidden="false" customHeight="false" outlineLevel="0" collapsed="false">
      <c r="A45" s="36" t="s">
        <v>504</v>
      </c>
      <c r="B45" s="6" t="s">
        <v>505</v>
      </c>
      <c r="C45" s="6" t="s">
        <v>121</v>
      </c>
      <c r="D45" s="37" t="s">
        <v>109</v>
      </c>
      <c r="E45" s="6" t="s">
        <v>506</v>
      </c>
      <c r="F45" s="6" t="s">
        <v>438</v>
      </c>
      <c r="G45" s="37" t="s">
        <v>176</v>
      </c>
      <c r="H45" s="37" t="s">
        <v>164</v>
      </c>
      <c r="I45" s="6" t="s">
        <v>507</v>
      </c>
      <c r="J45" s="6" t="s">
        <v>508</v>
      </c>
      <c r="K45" s="6" t="s">
        <v>509</v>
      </c>
      <c r="L45" s="6" t="s">
        <v>510</v>
      </c>
      <c r="M45" s="6" t="s">
        <v>511</v>
      </c>
      <c r="N45" s="6" t="s">
        <v>512</v>
      </c>
      <c r="O45" s="6"/>
      <c r="P45" s="37" t="n">
        <v>7</v>
      </c>
      <c r="Q45" s="38" t="s">
        <v>171</v>
      </c>
      <c r="R45" s="38"/>
      <c r="S45" s="39"/>
      <c r="T45" s="39"/>
      <c r="U45" s="40"/>
      <c r="V45" s="41" t="n">
        <v>12</v>
      </c>
      <c r="W45" s="38"/>
      <c r="X45" s="39"/>
      <c r="Y45" s="40"/>
      <c r="Z45" s="42" t="str">
        <f aca="false">IF(OR(U45="",V45=""),"",EDATE(U45,V45))</f>
        <v/>
      </c>
      <c r="AA45" s="43" t="str">
        <f aca="true">IF(OR(Q45="No",R45="Not applicable"),"Not applicable",IF(U45="",IF(V45="","Event-driven: set date","Not yet tested"),IF(Z45="","Event-driven",IF(Z45&lt;TODAY(),"Overdue",IF(Z45-TODAY()&lt;=30,"Due soon","On track")))))</f>
        <v>Not yet tested</v>
      </c>
    </row>
    <row r="46" customFormat="false" ht="113.4" hidden="false" customHeight="false" outlineLevel="0" collapsed="false">
      <c r="A46" s="36" t="s">
        <v>513</v>
      </c>
      <c r="B46" s="44" t="s">
        <v>514</v>
      </c>
      <c r="C46" s="44" t="s">
        <v>115</v>
      </c>
      <c r="D46" s="45" t="s">
        <v>109</v>
      </c>
      <c r="E46" s="44" t="s">
        <v>515</v>
      </c>
      <c r="F46" s="44" t="s">
        <v>498</v>
      </c>
      <c r="G46" s="45" t="s">
        <v>213</v>
      </c>
      <c r="H46" s="45" t="s">
        <v>164</v>
      </c>
      <c r="I46" s="44" t="s">
        <v>516</v>
      </c>
      <c r="J46" s="44" t="s">
        <v>517</v>
      </c>
      <c r="K46" s="44" t="s">
        <v>518</v>
      </c>
      <c r="L46" s="44" t="s">
        <v>519</v>
      </c>
      <c r="M46" s="44" t="s">
        <v>520</v>
      </c>
      <c r="N46" s="44" t="s">
        <v>521</v>
      </c>
      <c r="O46" s="44"/>
      <c r="P46" s="45" t="n">
        <v>4</v>
      </c>
      <c r="Q46" s="38" t="s">
        <v>171</v>
      </c>
      <c r="R46" s="38"/>
      <c r="S46" s="39"/>
      <c r="T46" s="39"/>
      <c r="U46" s="40"/>
      <c r="V46" s="41" t="n">
        <v>12</v>
      </c>
      <c r="W46" s="38"/>
      <c r="X46" s="39"/>
      <c r="Y46" s="40"/>
      <c r="Z46" s="42" t="str">
        <f aca="false">IF(OR(U46="",V46=""),"",EDATE(U46,V46))</f>
        <v/>
      </c>
      <c r="AA46" s="43" t="str">
        <f aca="true">IF(OR(Q46="No",R46="Not applicable"),"Not applicable",IF(U46="",IF(V46="","Event-driven: set date","Not yet tested"),IF(Z46="","Event-driven",IF(Z46&lt;TODAY(),"Overdue",IF(Z46-TODAY()&lt;=30,"Due soon","On track")))))</f>
        <v>Not yet tested</v>
      </c>
    </row>
    <row r="47" customFormat="false" ht="91" hidden="false" customHeight="false" outlineLevel="0" collapsed="false">
      <c r="A47" s="36" t="s">
        <v>522</v>
      </c>
      <c r="B47" s="6" t="s">
        <v>523</v>
      </c>
      <c r="C47" s="6" t="s">
        <v>115</v>
      </c>
      <c r="D47" s="37" t="s">
        <v>109</v>
      </c>
      <c r="E47" s="6" t="s">
        <v>524</v>
      </c>
      <c r="F47" s="6" t="s">
        <v>222</v>
      </c>
      <c r="G47" s="37" t="s">
        <v>242</v>
      </c>
      <c r="H47" s="37" t="s">
        <v>164</v>
      </c>
      <c r="I47" s="6" t="s">
        <v>525</v>
      </c>
      <c r="J47" s="6" t="s">
        <v>526</v>
      </c>
      <c r="K47" s="6" t="s">
        <v>527</v>
      </c>
      <c r="L47" s="6" t="s">
        <v>528</v>
      </c>
      <c r="M47" s="6" t="s">
        <v>529</v>
      </c>
      <c r="N47" s="6" t="s">
        <v>170</v>
      </c>
      <c r="O47" s="6"/>
      <c r="P47" s="37" t="n">
        <v>4</v>
      </c>
      <c r="Q47" s="38" t="s">
        <v>171</v>
      </c>
      <c r="R47" s="38"/>
      <c r="S47" s="39"/>
      <c r="T47" s="39"/>
      <c r="U47" s="40"/>
      <c r="V47" s="41" t="n">
        <v>3</v>
      </c>
      <c r="W47" s="38"/>
      <c r="X47" s="39"/>
      <c r="Y47" s="40"/>
      <c r="Z47" s="42" t="str">
        <f aca="false">IF(OR(U47="",V47=""),"",EDATE(U47,V47))</f>
        <v/>
      </c>
      <c r="AA47" s="43" t="str">
        <f aca="true">IF(OR(Q47="No",R47="Not applicable"),"Not applicable",IF(U47="",IF(V47="","Event-driven: set date","Not yet tested"),IF(Z47="","Event-driven",IF(Z47&lt;TODAY(),"Overdue",IF(Z47-TODAY()&lt;=30,"Due soon","On track")))))</f>
        <v>Not yet tested</v>
      </c>
    </row>
    <row r="48" customFormat="false" ht="68.65" hidden="false" customHeight="false" outlineLevel="0" collapsed="false">
      <c r="A48" s="36" t="s">
        <v>530</v>
      </c>
      <c r="B48" s="44" t="s">
        <v>531</v>
      </c>
      <c r="C48" s="44" t="s">
        <v>115</v>
      </c>
      <c r="D48" s="45" t="s">
        <v>109</v>
      </c>
      <c r="E48" s="44" t="s">
        <v>532</v>
      </c>
      <c r="F48" s="44" t="s">
        <v>162</v>
      </c>
      <c r="G48" s="45" t="s">
        <v>176</v>
      </c>
      <c r="H48" s="45" t="s">
        <v>164</v>
      </c>
      <c r="I48" s="44" t="s">
        <v>533</v>
      </c>
      <c r="J48" s="44" t="s">
        <v>534</v>
      </c>
      <c r="K48" s="44" t="s">
        <v>535</v>
      </c>
      <c r="L48" s="44" t="s">
        <v>536</v>
      </c>
      <c r="M48" s="44" t="s">
        <v>537</v>
      </c>
      <c r="N48" s="44" t="s">
        <v>538</v>
      </c>
      <c r="O48" s="44"/>
      <c r="P48" s="45" t="n">
        <v>3</v>
      </c>
      <c r="Q48" s="38" t="s">
        <v>171</v>
      </c>
      <c r="R48" s="38"/>
      <c r="S48" s="39"/>
      <c r="T48" s="39"/>
      <c r="U48" s="40"/>
      <c r="V48" s="41" t="n">
        <v>12</v>
      </c>
      <c r="W48" s="38"/>
      <c r="X48" s="39"/>
      <c r="Y48" s="40"/>
      <c r="Z48" s="42" t="str">
        <f aca="false">IF(OR(U48="",V48=""),"",EDATE(U48,V48))</f>
        <v/>
      </c>
      <c r="AA48" s="43" t="str">
        <f aca="true">IF(OR(Q48="No",R48="Not applicable"),"Not applicable",IF(U48="",IF(V48="","Event-driven: set date","Not yet tested"),IF(Z48="","Event-driven",IF(Z48&lt;TODAY(),"Overdue",IF(Z48-TODAY()&lt;=30,"Due soon","On track")))))</f>
        <v>Not yet tested</v>
      </c>
    </row>
    <row r="49" customFormat="false" ht="258.95" hidden="false" customHeight="false" outlineLevel="0" collapsed="false">
      <c r="A49" s="36" t="s">
        <v>539</v>
      </c>
      <c r="B49" s="6" t="s">
        <v>540</v>
      </c>
      <c r="C49" s="6" t="s">
        <v>115</v>
      </c>
      <c r="D49" s="37" t="s">
        <v>109</v>
      </c>
      <c r="E49" s="6" t="s">
        <v>541</v>
      </c>
      <c r="F49" s="6" t="s">
        <v>438</v>
      </c>
      <c r="G49" s="37" t="s">
        <v>213</v>
      </c>
      <c r="H49" s="37" t="s">
        <v>164</v>
      </c>
      <c r="I49" s="6" t="s">
        <v>542</v>
      </c>
      <c r="J49" s="6" t="s">
        <v>543</v>
      </c>
      <c r="K49" s="6" t="s">
        <v>544</v>
      </c>
      <c r="L49" s="6" t="s">
        <v>545</v>
      </c>
      <c r="M49" s="6" t="s">
        <v>546</v>
      </c>
      <c r="N49" s="6" t="s">
        <v>547</v>
      </c>
      <c r="O49" s="6" t="s">
        <v>548</v>
      </c>
      <c r="P49" s="37" t="n">
        <v>4</v>
      </c>
      <c r="Q49" s="38" t="s">
        <v>171</v>
      </c>
      <c r="R49" s="38"/>
      <c r="S49" s="39"/>
      <c r="T49" s="39"/>
      <c r="U49" s="40"/>
      <c r="V49" s="41" t="n">
        <v>6</v>
      </c>
      <c r="W49" s="38"/>
      <c r="X49" s="39"/>
      <c r="Y49" s="40"/>
      <c r="Z49" s="42" t="str">
        <f aca="false">IF(OR(U49="",V49=""),"",EDATE(U49,V49))</f>
        <v/>
      </c>
      <c r="AA49" s="43" t="str">
        <f aca="true">IF(OR(Q49="No",R49="Not applicable"),"Not applicable",IF(U49="",IF(V49="","Event-driven: set date","Not yet tested"),IF(Z49="","Event-driven",IF(Z49&lt;TODAY(),"Overdue",IF(Z49-TODAY()&lt;=30,"Due soon","On track")))))</f>
        <v>Not yet tested</v>
      </c>
    </row>
    <row r="50" customFormat="false" ht="124.6" hidden="false" customHeight="false" outlineLevel="0" collapsed="false">
      <c r="A50" s="36" t="s">
        <v>549</v>
      </c>
      <c r="B50" s="44" t="s">
        <v>550</v>
      </c>
      <c r="C50" s="44" t="s">
        <v>115</v>
      </c>
      <c r="D50" s="45" t="s">
        <v>109</v>
      </c>
      <c r="E50" s="44" t="s">
        <v>551</v>
      </c>
      <c r="F50" s="44" t="s">
        <v>552</v>
      </c>
      <c r="G50" s="45" t="s">
        <v>213</v>
      </c>
      <c r="H50" s="45" t="s">
        <v>164</v>
      </c>
      <c r="I50" s="44" t="s">
        <v>553</v>
      </c>
      <c r="J50" s="44" t="s">
        <v>554</v>
      </c>
      <c r="K50" s="44" t="s">
        <v>555</v>
      </c>
      <c r="L50" s="44" t="s">
        <v>556</v>
      </c>
      <c r="M50" s="44" t="s">
        <v>529</v>
      </c>
      <c r="N50" s="44" t="s">
        <v>557</v>
      </c>
      <c r="O50" s="44" t="s">
        <v>558</v>
      </c>
      <c r="P50" s="45" t="n">
        <v>4</v>
      </c>
      <c r="Q50" s="38" t="s">
        <v>171</v>
      </c>
      <c r="R50" s="38"/>
      <c r="S50" s="39"/>
      <c r="T50" s="39"/>
      <c r="U50" s="40"/>
      <c r="V50" s="41" t="n">
        <v>12</v>
      </c>
      <c r="W50" s="38"/>
      <c r="X50" s="39"/>
      <c r="Y50" s="40"/>
      <c r="Z50" s="42" t="str">
        <f aca="false">IF(OR(U50="",V50=""),"",EDATE(U50,V50))</f>
        <v/>
      </c>
      <c r="AA50" s="43" t="str">
        <f aca="true">IF(OR(Q50="No",R50="Not applicable"),"Not applicable",IF(U50="",IF(V50="","Event-driven: set date","Not yet tested"),IF(Z50="","Event-driven",IF(Z50&lt;TODAY(),"Overdue",IF(Z50-TODAY()&lt;=30,"Due soon","On track")))))</f>
        <v>Not yet tested</v>
      </c>
    </row>
  </sheetData>
  <autoFilter ref="A4:AA50"/>
  <conditionalFormatting sqref="R5:R50">
    <cfRule type="cellIs" priority="2" operator="equal" aboveAverage="0" equalAverage="0" bottom="0" percent="0" rank="0" text="" dxfId="13">
      <formula>"Not started"</formula>
    </cfRule>
    <cfRule type="cellIs" priority="3" operator="equal" aboveAverage="0" equalAverage="0" bottom="0" percent="0" rank="0" text="" dxfId="14">
      <formula>"Planned"</formula>
    </cfRule>
    <cfRule type="cellIs" priority="4" operator="equal" aboveAverage="0" equalAverage="0" bottom="0" percent="0" rank="0" text="" dxfId="15">
      <formula>"Partially implemented"</formula>
    </cfRule>
    <cfRule type="cellIs" priority="5" operator="equal" aboveAverage="0" equalAverage="0" bottom="0" percent="0" rank="0" text="" dxfId="16">
      <formula>"Implemented"</formula>
    </cfRule>
    <cfRule type="cellIs" priority="6" operator="equal" aboveAverage="0" equalAverage="0" bottom="0" percent="0" rank="0" text="" dxfId="17">
      <formula>"Not applicable"</formula>
    </cfRule>
  </conditionalFormatting>
  <conditionalFormatting sqref="D5:D50">
    <cfRule type="cellIs" priority="7" operator="equal" aboveAverage="0" equalAverage="0" bottom="0" percent="0" rank="0" text="" dxfId="18">
      <formula>"Baseline"</formula>
    </cfRule>
    <cfRule type="cellIs" priority="8" operator="equal" aboveAverage="0" equalAverage="0" bottom="0" percent="0" rank="0" text="" dxfId="19">
      <formula>"Advanced"</formula>
    </cfRule>
  </conditionalFormatting>
  <conditionalFormatting sqref="W5:W50">
    <cfRule type="cellIs" priority="9" operator="equal" aboveAverage="0" equalAverage="0" bottom="0" percent="0" rank="0" text="" dxfId="20">
      <formula>"Effective"</formula>
    </cfRule>
    <cfRule type="cellIs" priority="10" operator="equal" aboveAverage="0" equalAverage="0" bottom="0" percent="0" rank="0" text="" dxfId="21">
      <formula>"Partially effective"</formula>
    </cfRule>
    <cfRule type="cellIs" priority="11" operator="equal" aboveAverage="0" equalAverage="0" bottom="0" percent="0" rank="0" text="" dxfId="22">
      <formula>"Ineffective"</formula>
    </cfRule>
    <cfRule type="cellIs" priority="12" operator="equal" aboveAverage="0" equalAverage="0" bottom="0" percent="0" rank="0" text="" dxfId="23">
      <formula>"Not tested"</formula>
    </cfRule>
  </conditionalFormatting>
  <conditionalFormatting sqref="AA5:AA50">
    <cfRule type="cellIs" priority="13" operator="equal" aboveAverage="0" equalAverage="0" bottom="0" percent="0" rank="0" text="" dxfId="22">
      <formula>"Overdue"</formula>
    </cfRule>
    <cfRule type="cellIs" priority="14" operator="equal" aboveAverage="0" equalAverage="0" bottom="0" percent="0" rank="0" text="" dxfId="21">
      <formula>"Due soon"</formula>
    </cfRule>
    <cfRule type="cellIs" priority="15" operator="equal" aboveAverage="0" equalAverage="0" bottom="0" percent="0" rank="0" text="" dxfId="20">
      <formula>"On track"</formula>
    </cfRule>
    <cfRule type="cellIs" priority="16" operator="equal" aboveAverage="0" equalAverage="0" bottom="0" percent="0" rank="0" text="" dxfId="24">
      <formula>"Not yet tested"</formula>
    </cfRule>
    <cfRule type="cellIs" priority="17" operator="equal" aboveAverage="0" equalAverage="0" bottom="0" percent="0" rank="0" text="" dxfId="23">
      <formula>"Not applicable"</formula>
    </cfRule>
  </conditionalFormatting>
  <conditionalFormatting sqref="A5:P50">
    <cfRule type="expression" priority="18" aboveAverage="0" equalAverage="0" bottom="0" percent="0" rank="0" text="" dxfId="25">
      <formula>$Q5="No"</formula>
    </cfRule>
  </conditionalFormatting>
  <dataValidations count="5">
    <dataValidation allowBlank="true" error="Choose a value from the list (edit the Lists sheet to change the options)." errorStyle="warning" operator="between" showDropDown="false" showErrorMessage="true" showInputMessage="false" sqref="Q5:Q50" type="list">
      <formula1>Lists!$B$2:$B$3</formula1>
      <formula2>0</formula2>
    </dataValidation>
    <dataValidation allowBlank="true" error="Choose a value from the list (edit the Lists sheet to change the options)." errorStyle="warning" operator="between" showDropDown="false" showErrorMessage="true" showInputMessage="false" sqref="R5:R50" type="list">
      <formula1>Lists!$A$2:$A$6</formula1>
      <formula2>0</formula2>
    </dataValidation>
    <dataValidation allowBlank="true" error="Choose a value from the list (edit the Lists sheet to change the options)." errorStyle="warning" operator="between" showDropDown="false" showErrorMessage="true" showInputMessage="false" sqref="W5:W50" type="list">
      <formula1>Lists!$C$2:$C$5</formula1>
      <formula2>0</formula2>
    </dataValidation>
    <dataValidation allowBlank="true" error="Enter a date (for example 2026-10-17)." errorStyle="warning" operator="greaterThan" showDropDown="false" showErrorMessage="true" showInputMessage="false" sqref="U5:U50" type="date">
      <formula1>DATE(2000,1,1)</formula1>
      <formula2>0</formula2>
    </dataValidation>
    <dataValidation allowBlank="true" error="Enter a date (for example 2026-10-17)." errorStyle="warning" operator="greaterThan" showDropDown="false" showErrorMessage="true" showInputMessage="false" sqref="Y5:Y50" type="date">
      <formula1>DATE(2000,1,1)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48235"/>
    <pageSetUpPr fitToPage="true"/>
  </sheetPr>
  <dimension ref="A1:H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22"/>
    <col collapsed="false" customWidth="true" hidden="false" outlineLevel="0" max="3" min="3" style="0" width="9"/>
    <col collapsed="false" customWidth="true" hidden="false" outlineLevel="0" max="8" min="4" style="0" width="12"/>
  </cols>
  <sheetData>
    <row r="1" customFormat="false" ht="30" hidden="false" customHeight="true" outlineLevel="0" collapsed="false">
      <c r="A1" s="15" t="s">
        <v>559</v>
      </c>
      <c r="B1" s="16"/>
      <c r="C1" s="16"/>
      <c r="D1" s="16"/>
      <c r="E1" s="16"/>
      <c r="F1" s="16"/>
      <c r="G1" s="16"/>
      <c r="H1" s="16"/>
    </row>
    <row r="2" customFormat="false" ht="15" hidden="false" customHeight="false" outlineLevel="0" collapsed="false">
      <c r="A2" s="3" t="s">
        <v>560</v>
      </c>
    </row>
    <row r="4" customFormat="false" ht="23.85" hidden="false" customHeight="false" outlineLevel="0" collapsed="false">
      <c r="A4" s="17" t="s">
        <v>561</v>
      </c>
      <c r="B4" s="17" t="s">
        <v>562</v>
      </c>
      <c r="C4" s="17" t="s">
        <v>563</v>
      </c>
      <c r="D4" s="17" t="s">
        <v>564</v>
      </c>
      <c r="E4" s="17" t="s">
        <v>565</v>
      </c>
      <c r="F4" s="17" t="s">
        <v>566</v>
      </c>
      <c r="G4" s="17" t="s">
        <v>567</v>
      </c>
      <c r="H4" s="17" t="s">
        <v>568</v>
      </c>
    </row>
    <row r="5" customFormat="false" ht="15" hidden="false" customHeight="false" outlineLevel="0" collapsed="false">
      <c r="A5" s="46" t="s">
        <v>569</v>
      </c>
      <c r="B5" s="47" t="s">
        <v>570</v>
      </c>
      <c r="C5" s="26" t="n">
        <f aca="false">COUNTIF('Framework Crosswalk'!$A$5:$A$977,A5)</f>
        <v>24</v>
      </c>
      <c r="D5" s="26" t="n">
        <f aca="false">C5-COUNTIFS('Framework Crosswalk'!$A$5:$A$977,A5,'Framework Crosswalk'!$K$5:$K$977,"No wiki control")</f>
        <v>24</v>
      </c>
      <c r="E5" s="26" t="n">
        <f aca="false">COUNTIFS('Framework Crosswalk'!$A$5:$A$977,A5,'Framework Crosswalk'!$K$5:$K$977,"Fully covered")</f>
        <v>0</v>
      </c>
      <c r="F5" s="26" t="n">
        <f aca="false">COUNTIFS('Framework Crosswalk'!$A$5:$A$977,A5,'Framework Crosswalk'!$K$5:$K$977,"Partly covered")</f>
        <v>0</v>
      </c>
      <c r="G5" s="26" t="n">
        <f aca="false">COUNTIFS('Framework Crosswalk'!$A$5:$A$977,A5,'Framework Crosswalk'!$K$5:$K$977,"Not covered")</f>
        <v>24</v>
      </c>
      <c r="H5" s="48" t="n">
        <f aca="false">IF(D5=0,"",E5/D5)</f>
        <v>0</v>
      </c>
    </row>
    <row r="6" customFormat="false" ht="15" hidden="false" customHeight="false" outlineLevel="0" collapsed="false">
      <c r="A6" s="46" t="s">
        <v>571</v>
      </c>
      <c r="B6" s="47" t="s">
        <v>570</v>
      </c>
      <c r="C6" s="26" t="n">
        <f aca="false">COUNTIF('Framework Crosswalk'!$A$5:$A$977,A6)</f>
        <v>25</v>
      </c>
      <c r="D6" s="26" t="n">
        <f aca="false">C6-COUNTIFS('Framework Crosswalk'!$A$5:$A$977,A6,'Framework Crosswalk'!$K$5:$K$977,"No wiki control")</f>
        <v>25</v>
      </c>
      <c r="E6" s="26" t="n">
        <f aca="false">COUNTIFS('Framework Crosswalk'!$A$5:$A$977,A6,'Framework Crosswalk'!$K$5:$K$977,"Fully covered")</f>
        <v>0</v>
      </c>
      <c r="F6" s="26" t="n">
        <f aca="false">COUNTIFS('Framework Crosswalk'!$A$5:$A$977,A6,'Framework Crosswalk'!$K$5:$K$977,"Partly covered")</f>
        <v>0</v>
      </c>
      <c r="G6" s="26" t="n">
        <f aca="false">COUNTIFS('Framework Crosswalk'!$A$5:$A$977,A6,'Framework Crosswalk'!$K$5:$K$977,"Not covered")</f>
        <v>25</v>
      </c>
      <c r="H6" s="48" t="n">
        <f aca="false">IF(D6=0,"",E6/D6)</f>
        <v>0</v>
      </c>
    </row>
    <row r="7" customFormat="false" ht="15" hidden="false" customHeight="false" outlineLevel="0" collapsed="false">
      <c r="A7" s="46" t="s">
        <v>572</v>
      </c>
      <c r="B7" s="47" t="s">
        <v>570</v>
      </c>
      <c r="C7" s="26" t="n">
        <f aca="false">COUNTIF('Framework Crosswalk'!$A$5:$A$977,A7)</f>
        <v>55</v>
      </c>
      <c r="D7" s="26" t="n">
        <f aca="false">C7-COUNTIFS('Framework Crosswalk'!$A$5:$A$977,A7,'Framework Crosswalk'!$K$5:$K$977,"No wiki control")</f>
        <v>55</v>
      </c>
      <c r="E7" s="26" t="n">
        <f aca="false">COUNTIFS('Framework Crosswalk'!$A$5:$A$977,A7,'Framework Crosswalk'!$K$5:$K$977,"Fully covered")</f>
        <v>0</v>
      </c>
      <c r="F7" s="26" t="n">
        <f aca="false">COUNTIFS('Framework Crosswalk'!$A$5:$A$977,A7,'Framework Crosswalk'!$K$5:$K$977,"Partly covered")</f>
        <v>0</v>
      </c>
      <c r="G7" s="26" t="n">
        <f aca="false">COUNTIFS('Framework Crosswalk'!$A$5:$A$977,A7,'Framework Crosswalk'!$K$5:$K$977,"Not covered")</f>
        <v>55</v>
      </c>
      <c r="H7" s="48" t="n">
        <f aca="false">IF(D7=0,"",E7/D7)</f>
        <v>0</v>
      </c>
    </row>
    <row r="8" customFormat="false" ht="15" hidden="false" customHeight="false" outlineLevel="0" collapsed="false">
      <c r="A8" s="46" t="s">
        <v>573</v>
      </c>
      <c r="B8" s="47" t="s">
        <v>570</v>
      </c>
      <c r="C8" s="26" t="n">
        <f aca="false">COUNTIF('Framework Crosswalk'!$A$5:$A$977,A8)</f>
        <v>72</v>
      </c>
      <c r="D8" s="26" t="n">
        <f aca="false">C8-COUNTIFS('Framework Crosswalk'!$A$5:$A$977,A8,'Framework Crosswalk'!$K$5:$K$977,"No wiki control")</f>
        <v>47</v>
      </c>
      <c r="E8" s="26" t="n">
        <f aca="false">COUNTIFS('Framework Crosswalk'!$A$5:$A$977,A8,'Framework Crosswalk'!$K$5:$K$977,"Fully covered")</f>
        <v>0</v>
      </c>
      <c r="F8" s="26" t="n">
        <f aca="false">COUNTIFS('Framework Crosswalk'!$A$5:$A$977,A8,'Framework Crosswalk'!$K$5:$K$977,"Partly covered")</f>
        <v>0</v>
      </c>
      <c r="G8" s="26" t="n">
        <f aca="false">COUNTIFS('Framework Crosswalk'!$A$5:$A$977,A8,'Framework Crosswalk'!$K$5:$K$977,"Not covered")</f>
        <v>47</v>
      </c>
      <c r="H8" s="48" t="n">
        <f aca="false">IF(D8=0,"",E8/D8)</f>
        <v>0</v>
      </c>
    </row>
    <row r="9" customFormat="false" ht="15" hidden="false" customHeight="false" outlineLevel="0" collapsed="false">
      <c r="A9" s="46" t="s">
        <v>574</v>
      </c>
      <c r="B9" s="47" t="s">
        <v>570</v>
      </c>
      <c r="C9" s="26" t="n">
        <f aca="false">COUNTIF('Framework Crosswalk'!$A$5:$A$977,A9)</f>
        <v>12</v>
      </c>
      <c r="D9" s="26" t="n">
        <f aca="false">C9-COUNTIFS('Framework Crosswalk'!$A$5:$A$977,A9,'Framework Crosswalk'!$K$5:$K$977,"No wiki control")</f>
        <v>12</v>
      </c>
      <c r="E9" s="26" t="n">
        <f aca="false">COUNTIFS('Framework Crosswalk'!$A$5:$A$977,A9,'Framework Crosswalk'!$K$5:$K$977,"Fully covered")</f>
        <v>0</v>
      </c>
      <c r="F9" s="26" t="n">
        <f aca="false">COUNTIFS('Framework Crosswalk'!$A$5:$A$977,A9,'Framework Crosswalk'!$K$5:$K$977,"Partly covered")</f>
        <v>0</v>
      </c>
      <c r="G9" s="26" t="n">
        <f aca="false">COUNTIFS('Framework Crosswalk'!$A$5:$A$977,A9,'Framework Crosswalk'!$K$5:$K$977,"Not covered")</f>
        <v>12</v>
      </c>
      <c r="H9" s="48" t="n">
        <f aca="false">IF(D9=0,"",E9/D9)</f>
        <v>0</v>
      </c>
    </row>
    <row r="10" customFormat="false" ht="15" hidden="false" customHeight="false" outlineLevel="0" collapsed="false">
      <c r="A10" s="46" t="s">
        <v>575</v>
      </c>
      <c r="B10" s="47" t="s">
        <v>570</v>
      </c>
      <c r="C10" s="26" t="n">
        <f aca="false">COUNTIF('Framework Crosswalk'!$A$5:$A$977,A10)</f>
        <v>20</v>
      </c>
      <c r="D10" s="26" t="n">
        <f aca="false">C10-COUNTIFS('Framework Crosswalk'!$A$5:$A$977,A10,'Framework Crosswalk'!$K$5:$K$977,"No wiki control")</f>
        <v>18</v>
      </c>
      <c r="E10" s="26" t="n">
        <f aca="false">COUNTIFS('Framework Crosswalk'!$A$5:$A$977,A10,'Framework Crosswalk'!$K$5:$K$977,"Fully covered")</f>
        <v>0</v>
      </c>
      <c r="F10" s="26" t="n">
        <f aca="false">COUNTIFS('Framework Crosswalk'!$A$5:$A$977,A10,'Framework Crosswalk'!$K$5:$K$977,"Partly covered")</f>
        <v>0</v>
      </c>
      <c r="G10" s="26" t="n">
        <f aca="false">COUNTIFS('Framework Crosswalk'!$A$5:$A$977,A10,'Framework Crosswalk'!$K$5:$K$977,"Not covered")</f>
        <v>18</v>
      </c>
      <c r="H10" s="48" t="n">
        <f aca="false">IF(D10=0,"",E10/D10)</f>
        <v>0</v>
      </c>
    </row>
    <row r="11" customFormat="false" ht="15" hidden="false" customHeight="false" outlineLevel="0" collapsed="false">
      <c r="A11" s="30" t="s">
        <v>576</v>
      </c>
      <c r="B11" s="49" t="s">
        <v>577</v>
      </c>
      <c r="C11" s="26" t="n">
        <f aca="false">COUNTIF('Framework Crosswalk'!$A$5:$A$977,A11)</f>
        <v>10</v>
      </c>
      <c r="D11" s="26" t="n">
        <f aca="false">C11-COUNTIFS('Framework Crosswalk'!$A$5:$A$977,A11,'Framework Crosswalk'!$K$5:$K$977,"No wiki control")</f>
        <v>10</v>
      </c>
      <c r="E11" s="26" t="n">
        <f aca="false">COUNTIFS('Framework Crosswalk'!$A$5:$A$977,A11,'Framework Crosswalk'!$K$5:$K$977,"Fully covered")</f>
        <v>0</v>
      </c>
      <c r="F11" s="26" t="n">
        <f aca="false">COUNTIFS('Framework Crosswalk'!$A$5:$A$977,A11,'Framework Crosswalk'!$K$5:$K$977,"Partly covered")</f>
        <v>0</v>
      </c>
      <c r="G11" s="26" t="n">
        <f aca="false">COUNTIFS('Framework Crosswalk'!$A$5:$A$977,A11,'Framework Crosswalk'!$K$5:$K$977,"Not covered")</f>
        <v>10</v>
      </c>
      <c r="H11" s="48" t="n">
        <f aca="false">IF(D11=0,"",E11/D11)</f>
        <v>0</v>
      </c>
    </row>
    <row r="12" customFormat="false" ht="15" hidden="false" customHeight="false" outlineLevel="0" collapsed="false">
      <c r="A12" s="30" t="s">
        <v>578</v>
      </c>
      <c r="B12" s="49" t="s">
        <v>577</v>
      </c>
      <c r="C12" s="26" t="n">
        <f aca="false">COUNTIF('Framework Crosswalk'!$A$5:$A$977,A12)</f>
        <v>10</v>
      </c>
      <c r="D12" s="26" t="n">
        <f aca="false">C12-COUNTIFS('Framework Crosswalk'!$A$5:$A$977,A12,'Framework Crosswalk'!$K$5:$K$977,"No wiki control")</f>
        <v>10</v>
      </c>
      <c r="E12" s="26" t="n">
        <f aca="false">COUNTIFS('Framework Crosswalk'!$A$5:$A$977,A12,'Framework Crosswalk'!$K$5:$K$977,"Fully covered")</f>
        <v>0</v>
      </c>
      <c r="F12" s="26" t="n">
        <f aca="false">COUNTIFS('Framework Crosswalk'!$A$5:$A$977,A12,'Framework Crosswalk'!$K$5:$K$977,"Partly covered")</f>
        <v>0</v>
      </c>
      <c r="G12" s="26" t="n">
        <f aca="false">COUNTIFS('Framework Crosswalk'!$A$5:$A$977,A12,'Framework Crosswalk'!$K$5:$K$977,"Not covered")</f>
        <v>10</v>
      </c>
      <c r="H12" s="48" t="n">
        <f aca="false">IF(D12=0,"",E12/D12)</f>
        <v>0</v>
      </c>
    </row>
    <row r="13" customFormat="false" ht="15" hidden="false" customHeight="false" outlineLevel="0" collapsed="false">
      <c r="A13" s="30" t="s">
        <v>579</v>
      </c>
      <c r="B13" s="49" t="s">
        <v>577</v>
      </c>
      <c r="C13" s="26" t="n">
        <f aca="false">COUNTIF('Framework Crosswalk'!$A$5:$A$977,A13)</f>
        <v>10</v>
      </c>
      <c r="D13" s="26" t="n">
        <f aca="false">C13-COUNTIFS('Framework Crosswalk'!$A$5:$A$977,A13,'Framework Crosswalk'!$K$5:$K$977,"No wiki control")</f>
        <v>10</v>
      </c>
      <c r="E13" s="26" t="n">
        <f aca="false">COUNTIFS('Framework Crosswalk'!$A$5:$A$977,A13,'Framework Crosswalk'!$K$5:$K$977,"Fully covered")</f>
        <v>0</v>
      </c>
      <c r="F13" s="26" t="n">
        <f aca="false">COUNTIFS('Framework Crosswalk'!$A$5:$A$977,A13,'Framework Crosswalk'!$K$5:$K$977,"Partly covered")</f>
        <v>0</v>
      </c>
      <c r="G13" s="26" t="n">
        <f aca="false">COUNTIFS('Framework Crosswalk'!$A$5:$A$977,A13,'Framework Crosswalk'!$K$5:$K$977,"Not covered")</f>
        <v>10</v>
      </c>
      <c r="H13" s="48" t="n">
        <f aca="false">IF(D13=0,"",E13/D13)</f>
        <v>0</v>
      </c>
    </row>
    <row r="14" customFormat="false" ht="15" hidden="false" customHeight="false" outlineLevel="0" collapsed="false">
      <c r="A14" s="30" t="s">
        <v>580</v>
      </c>
      <c r="B14" s="49" t="s">
        <v>577</v>
      </c>
      <c r="C14" s="26" t="n">
        <f aca="false">COUNTIF('Framework Crosswalk'!$A$5:$A$977,A14)</f>
        <v>55</v>
      </c>
      <c r="D14" s="26" t="n">
        <f aca="false">C14-COUNTIFS('Framework Crosswalk'!$A$5:$A$977,A14,'Framework Crosswalk'!$K$5:$K$977,"No wiki control")</f>
        <v>55</v>
      </c>
      <c r="E14" s="26" t="n">
        <f aca="false">COUNTIFS('Framework Crosswalk'!$A$5:$A$977,A14,'Framework Crosswalk'!$K$5:$K$977,"Fully covered")</f>
        <v>0</v>
      </c>
      <c r="F14" s="26" t="n">
        <f aca="false">COUNTIFS('Framework Crosswalk'!$A$5:$A$977,A14,'Framework Crosswalk'!$K$5:$K$977,"Partly covered")</f>
        <v>0</v>
      </c>
      <c r="G14" s="26" t="n">
        <f aca="false">COUNTIFS('Framework Crosswalk'!$A$5:$A$977,A14,'Framework Crosswalk'!$K$5:$K$977,"Not covered")</f>
        <v>55</v>
      </c>
      <c r="H14" s="48" t="n">
        <f aca="false">IF(D14=0,"",E14/D14)</f>
        <v>0</v>
      </c>
    </row>
    <row r="15" customFormat="false" ht="15" hidden="false" customHeight="false" outlineLevel="0" collapsed="false">
      <c r="A15" s="30" t="s">
        <v>581</v>
      </c>
      <c r="B15" s="49" t="s">
        <v>577</v>
      </c>
      <c r="C15" s="26" t="n">
        <f aca="false">COUNTIF('Framework Crosswalk'!$A$5:$A$977,A15)</f>
        <v>32</v>
      </c>
      <c r="D15" s="26" t="n">
        <f aca="false">C15-COUNTIFS('Framework Crosswalk'!$A$5:$A$977,A15,'Framework Crosswalk'!$K$5:$K$977,"No wiki control")</f>
        <v>32</v>
      </c>
      <c r="E15" s="26" t="n">
        <f aca="false">COUNTIFS('Framework Crosswalk'!$A$5:$A$977,A15,'Framework Crosswalk'!$K$5:$K$977,"Fully covered")</f>
        <v>0</v>
      </c>
      <c r="F15" s="26" t="n">
        <f aca="false">COUNTIFS('Framework Crosswalk'!$A$5:$A$977,A15,'Framework Crosswalk'!$K$5:$K$977,"Partly covered")</f>
        <v>0</v>
      </c>
      <c r="G15" s="26" t="n">
        <f aca="false">COUNTIFS('Framework Crosswalk'!$A$5:$A$977,A15,'Framework Crosswalk'!$K$5:$K$977,"Not covered")</f>
        <v>32</v>
      </c>
      <c r="H15" s="48" t="n">
        <f aca="false">IF(D15=0,"",E15/D15)</f>
        <v>0</v>
      </c>
    </row>
    <row r="16" customFormat="false" ht="15" hidden="false" customHeight="false" outlineLevel="0" collapsed="false">
      <c r="A16" s="30" t="s">
        <v>582</v>
      </c>
      <c r="B16" s="49" t="s">
        <v>577</v>
      </c>
      <c r="C16" s="26" t="n">
        <f aca="false">COUNTIF('Framework Crosswalk'!$A$5:$A$977,A16)</f>
        <v>26</v>
      </c>
      <c r="D16" s="26" t="n">
        <f aca="false">C16-COUNTIFS('Framework Crosswalk'!$A$5:$A$977,A16,'Framework Crosswalk'!$K$5:$K$977,"No wiki control")</f>
        <v>25</v>
      </c>
      <c r="E16" s="26" t="n">
        <f aca="false">COUNTIFS('Framework Crosswalk'!$A$5:$A$977,A16,'Framework Crosswalk'!$K$5:$K$977,"Fully covered")</f>
        <v>0</v>
      </c>
      <c r="F16" s="26" t="n">
        <f aca="false">COUNTIFS('Framework Crosswalk'!$A$5:$A$977,A16,'Framework Crosswalk'!$K$5:$K$977,"Partly covered")</f>
        <v>0</v>
      </c>
      <c r="G16" s="26" t="n">
        <f aca="false">COUNTIFS('Framework Crosswalk'!$A$5:$A$977,A16,'Framework Crosswalk'!$K$5:$K$977,"Not covered")</f>
        <v>25</v>
      </c>
      <c r="H16" s="48" t="n">
        <f aca="false">IF(D16=0,"",E16/D16)</f>
        <v>0</v>
      </c>
    </row>
    <row r="17" customFormat="false" ht="15" hidden="false" customHeight="false" outlineLevel="0" collapsed="false">
      <c r="A17" s="50" t="s">
        <v>583</v>
      </c>
      <c r="B17" s="51" t="s">
        <v>584</v>
      </c>
      <c r="C17" s="26" t="n">
        <f aca="false">COUNTIF('Framework Crosswalk'!$A$5:$A$977,A17)</f>
        <v>38</v>
      </c>
      <c r="D17" s="26" t="n">
        <f aca="false">C17-COUNTIFS('Framework Crosswalk'!$A$5:$A$977,A17,'Framework Crosswalk'!$K$5:$K$977,"No wiki control")</f>
        <v>38</v>
      </c>
      <c r="E17" s="26" t="n">
        <f aca="false">COUNTIFS('Framework Crosswalk'!$A$5:$A$977,A17,'Framework Crosswalk'!$K$5:$K$977,"Fully covered")</f>
        <v>0</v>
      </c>
      <c r="F17" s="26" t="n">
        <f aca="false">COUNTIFS('Framework Crosswalk'!$A$5:$A$977,A17,'Framework Crosswalk'!$K$5:$K$977,"Partly covered")</f>
        <v>0</v>
      </c>
      <c r="G17" s="26" t="n">
        <f aca="false">COUNTIFS('Framework Crosswalk'!$A$5:$A$977,A17,'Framework Crosswalk'!$K$5:$K$977,"Not covered")</f>
        <v>38</v>
      </c>
      <c r="H17" s="48" t="n">
        <f aca="false">IF(D17=0,"",E17/D17)</f>
        <v>0</v>
      </c>
    </row>
    <row r="18" customFormat="false" ht="15" hidden="false" customHeight="false" outlineLevel="0" collapsed="false">
      <c r="A18" s="50" t="s">
        <v>585</v>
      </c>
      <c r="B18" s="51" t="s">
        <v>584</v>
      </c>
      <c r="C18" s="26" t="n">
        <f aca="false">COUNTIF('Framework Crosswalk'!$A$5:$A$977,A18)</f>
        <v>9</v>
      </c>
      <c r="D18" s="26" t="n">
        <f aca="false">C18-COUNTIFS('Framework Crosswalk'!$A$5:$A$977,A18,'Framework Crosswalk'!$K$5:$K$977,"No wiki control")</f>
        <v>9</v>
      </c>
      <c r="E18" s="26" t="n">
        <f aca="false">COUNTIFS('Framework Crosswalk'!$A$5:$A$977,A18,'Framework Crosswalk'!$K$5:$K$977,"Fully covered")</f>
        <v>0</v>
      </c>
      <c r="F18" s="26" t="n">
        <f aca="false">COUNTIFS('Framework Crosswalk'!$A$5:$A$977,A18,'Framework Crosswalk'!$K$5:$K$977,"Partly covered")</f>
        <v>0</v>
      </c>
      <c r="G18" s="26" t="n">
        <f aca="false">COUNTIFS('Framework Crosswalk'!$A$5:$A$977,A18,'Framework Crosswalk'!$K$5:$K$977,"Not covered")</f>
        <v>9</v>
      </c>
      <c r="H18" s="48" t="n">
        <f aca="false">IF(D18=0,"",E18/D18)</f>
        <v>0</v>
      </c>
    </row>
    <row r="19" customFormat="false" ht="15" hidden="false" customHeight="false" outlineLevel="0" collapsed="false">
      <c r="A19" s="50" t="s">
        <v>586</v>
      </c>
      <c r="B19" s="51" t="s">
        <v>584</v>
      </c>
      <c r="C19" s="26" t="n">
        <f aca="false">COUNTIF('Framework Crosswalk'!$A$5:$A$977,A19)</f>
        <v>93</v>
      </c>
      <c r="D19" s="26" t="n">
        <f aca="false">C19-COUNTIFS('Framework Crosswalk'!$A$5:$A$977,A19,'Framework Crosswalk'!$K$5:$K$977,"No wiki control")</f>
        <v>75</v>
      </c>
      <c r="E19" s="26" t="n">
        <f aca="false">COUNTIFS('Framework Crosswalk'!$A$5:$A$977,A19,'Framework Crosswalk'!$K$5:$K$977,"Fully covered")</f>
        <v>0</v>
      </c>
      <c r="F19" s="26" t="n">
        <f aca="false">COUNTIFS('Framework Crosswalk'!$A$5:$A$977,A19,'Framework Crosswalk'!$K$5:$K$977,"Partly covered")</f>
        <v>0</v>
      </c>
      <c r="G19" s="26" t="n">
        <f aca="false">COUNTIFS('Framework Crosswalk'!$A$5:$A$977,A19,'Framework Crosswalk'!$K$5:$K$977,"Not covered")</f>
        <v>75</v>
      </c>
      <c r="H19" s="48" t="n">
        <f aca="false">IF(D19=0,"",E19/D19)</f>
        <v>0</v>
      </c>
    </row>
    <row r="20" customFormat="false" ht="15" hidden="false" customHeight="false" outlineLevel="0" collapsed="false">
      <c r="A20" s="50" t="s">
        <v>587</v>
      </c>
      <c r="B20" s="51" t="s">
        <v>584</v>
      </c>
      <c r="C20" s="26" t="n">
        <f aca="false">COUNTIF('Framework Crosswalk'!$A$5:$A$977,A20)</f>
        <v>3</v>
      </c>
      <c r="D20" s="26" t="n">
        <f aca="false">C20-COUNTIFS('Framework Crosswalk'!$A$5:$A$977,A20,'Framework Crosswalk'!$K$5:$K$977,"No wiki control")</f>
        <v>3</v>
      </c>
      <c r="E20" s="26" t="n">
        <f aca="false">COUNTIFS('Framework Crosswalk'!$A$5:$A$977,A20,'Framework Crosswalk'!$K$5:$K$977,"Fully covered")</f>
        <v>0</v>
      </c>
      <c r="F20" s="26" t="n">
        <f aca="false">COUNTIFS('Framework Crosswalk'!$A$5:$A$977,A20,'Framework Crosswalk'!$K$5:$K$977,"Partly covered")</f>
        <v>0</v>
      </c>
      <c r="G20" s="26" t="n">
        <f aca="false">COUNTIFS('Framework Crosswalk'!$A$5:$A$977,A20,'Framework Crosswalk'!$K$5:$K$977,"Not covered")</f>
        <v>3</v>
      </c>
      <c r="H20" s="48" t="n">
        <f aca="false">IF(D20=0,"",E20/D20)</f>
        <v>0</v>
      </c>
    </row>
    <row r="21" customFormat="false" ht="15" hidden="false" customHeight="false" outlineLevel="0" collapsed="false">
      <c r="A21" s="50" t="s">
        <v>588</v>
      </c>
      <c r="B21" s="51" t="s">
        <v>584</v>
      </c>
      <c r="C21" s="26" t="n">
        <f aca="false">COUNTIF('Framework Crosswalk'!$A$5:$A$977,A21)</f>
        <v>4</v>
      </c>
      <c r="D21" s="26" t="n">
        <f aca="false">C21-COUNTIFS('Framework Crosswalk'!$A$5:$A$977,A21,'Framework Crosswalk'!$K$5:$K$977,"No wiki control")</f>
        <v>1</v>
      </c>
      <c r="E21" s="26" t="n">
        <f aca="false">COUNTIFS('Framework Crosswalk'!$A$5:$A$977,A21,'Framework Crosswalk'!$K$5:$K$977,"Fully covered")</f>
        <v>0</v>
      </c>
      <c r="F21" s="26" t="n">
        <f aca="false">COUNTIFS('Framework Crosswalk'!$A$5:$A$977,A21,'Framework Crosswalk'!$K$5:$K$977,"Partly covered")</f>
        <v>0</v>
      </c>
      <c r="G21" s="26" t="n">
        <f aca="false">COUNTIFS('Framework Crosswalk'!$A$5:$A$977,A21,'Framework Crosswalk'!$K$5:$K$977,"Not covered")</f>
        <v>1</v>
      </c>
      <c r="H21" s="48" t="n">
        <f aca="false">IF(D21=0,"",E21/D21)</f>
        <v>0</v>
      </c>
    </row>
    <row r="22" customFormat="false" ht="15" hidden="false" customHeight="false" outlineLevel="0" collapsed="false">
      <c r="A22" s="50" t="s">
        <v>589</v>
      </c>
      <c r="B22" s="51" t="s">
        <v>584</v>
      </c>
      <c r="C22" s="26" t="n">
        <f aca="false">COUNTIF('Framework Crosswalk'!$A$5:$A$977,A22)</f>
        <v>9</v>
      </c>
      <c r="D22" s="26" t="n">
        <f aca="false">C22-COUNTIFS('Framework Crosswalk'!$A$5:$A$977,A22,'Framework Crosswalk'!$K$5:$K$977,"No wiki control")</f>
        <v>8</v>
      </c>
      <c r="E22" s="26" t="n">
        <f aca="false">COUNTIFS('Framework Crosswalk'!$A$5:$A$977,A22,'Framework Crosswalk'!$K$5:$K$977,"Fully covered")</f>
        <v>0</v>
      </c>
      <c r="F22" s="26" t="n">
        <f aca="false">COUNTIFS('Framework Crosswalk'!$A$5:$A$977,A22,'Framework Crosswalk'!$K$5:$K$977,"Partly covered")</f>
        <v>0</v>
      </c>
      <c r="G22" s="26" t="n">
        <f aca="false">COUNTIFS('Framework Crosswalk'!$A$5:$A$977,A22,'Framework Crosswalk'!$K$5:$K$977,"Not covered")</f>
        <v>8</v>
      </c>
      <c r="H22" s="48" t="n">
        <f aca="false">IF(D22=0,"",E22/D22)</f>
        <v>0</v>
      </c>
    </row>
    <row r="23" customFormat="false" ht="15" hidden="false" customHeight="false" outlineLevel="0" collapsed="false">
      <c r="A23" s="50" t="s">
        <v>590</v>
      </c>
      <c r="B23" s="51" t="s">
        <v>584</v>
      </c>
      <c r="C23" s="26" t="n">
        <f aca="false">COUNTIF('Framework Crosswalk'!$A$5:$A$977,A23)</f>
        <v>5</v>
      </c>
      <c r="D23" s="26" t="n">
        <f aca="false">C23-COUNTIFS('Framework Crosswalk'!$A$5:$A$977,A23,'Framework Crosswalk'!$K$5:$K$977,"No wiki control")</f>
        <v>4</v>
      </c>
      <c r="E23" s="26" t="n">
        <f aca="false">COUNTIFS('Framework Crosswalk'!$A$5:$A$977,A23,'Framework Crosswalk'!$K$5:$K$977,"Fully covered")</f>
        <v>0</v>
      </c>
      <c r="F23" s="26" t="n">
        <f aca="false">COUNTIFS('Framework Crosswalk'!$A$5:$A$977,A23,'Framework Crosswalk'!$K$5:$K$977,"Partly covered")</f>
        <v>0</v>
      </c>
      <c r="G23" s="26" t="n">
        <f aca="false">COUNTIFS('Framework Crosswalk'!$A$5:$A$977,A23,'Framework Crosswalk'!$K$5:$K$977,"Not covered")</f>
        <v>4</v>
      </c>
      <c r="H23" s="48" t="n">
        <f aca="false">IF(D23=0,"",E23/D23)</f>
        <v>0</v>
      </c>
    </row>
    <row r="24" customFormat="false" ht="15" hidden="false" customHeight="false" outlineLevel="0" collapsed="false">
      <c r="A24" s="50" t="s">
        <v>591</v>
      </c>
      <c r="B24" s="51" t="s">
        <v>584</v>
      </c>
      <c r="C24" s="26" t="n">
        <f aca="false">COUNTIF('Framework Crosswalk'!$A$5:$A$977,A24)</f>
        <v>7</v>
      </c>
      <c r="D24" s="26" t="n">
        <f aca="false">C24-COUNTIFS('Framework Crosswalk'!$A$5:$A$977,A24,'Framework Crosswalk'!$K$5:$K$977,"No wiki control")</f>
        <v>6</v>
      </c>
      <c r="E24" s="26" t="n">
        <f aca="false">COUNTIFS('Framework Crosswalk'!$A$5:$A$977,A24,'Framework Crosswalk'!$K$5:$K$977,"Fully covered")</f>
        <v>0</v>
      </c>
      <c r="F24" s="26" t="n">
        <f aca="false">COUNTIFS('Framework Crosswalk'!$A$5:$A$977,A24,'Framework Crosswalk'!$K$5:$K$977,"Partly covered")</f>
        <v>0</v>
      </c>
      <c r="G24" s="26" t="n">
        <f aca="false">COUNTIFS('Framework Crosswalk'!$A$5:$A$977,A24,'Framework Crosswalk'!$K$5:$K$977,"Not covered")</f>
        <v>6</v>
      </c>
      <c r="H24" s="48" t="n">
        <f aca="false">IF(D24=0,"",E24/D24)</f>
        <v>0</v>
      </c>
    </row>
    <row r="25" customFormat="false" ht="15" hidden="false" customHeight="false" outlineLevel="0" collapsed="false">
      <c r="A25" s="50" t="s">
        <v>592</v>
      </c>
      <c r="B25" s="51" t="s">
        <v>584</v>
      </c>
      <c r="C25" s="26" t="n">
        <f aca="false">COUNTIF('Framework Crosswalk'!$A$5:$A$977,A25)</f>
        <v>7</v>
      </c>
      <c r="D25" s="26" t="n">
        <f aca="false">C25-COUNTIFS('Framework Crosswalk'!$A$5:$A$977,A25,'Framework Crosswalk'!$K$5:$K$977,"No wiki control")</f>
        <v>6</v>
      </c>
      <c r="E25" s="26" t="n">
        <f aca="false">COUNTIFS('Framework Crosswalk'!$A$5:$A$977,A25,'Framework Crosswalk'!$K$5:$K$977,"Fully covered")</f>
        <v>0</v>
      </c>
      <c r="F25" s="26" t="n">
        <f aca="false">COUNTIFS('Framework Crosswalk'!$A$5:$A$977,A25,'Framework Crosswalk'!$K$5:$K$977,"Partly covered")</f>
        <v>0</v>
      </c>
      <c r="G25" s="26" t="n">
        <f aca="false">COUNTIFS('Framework Crosswalk'!$A$5:$A$977,A25,'Framework Crosswalk'!$K$5:$K$977,"Not covered")</f>
        <v>6</v>
      </c>
      <c r="H25" s="48" t="n">
        <f aca="false">IF(D25=0,"",E25/D25)</f>
        <v>0</v>
      </c>
    </row>
    <row r="26" customFormat="false" ht="15" hidden="false" customHeight="false" outlineLevel="0" collapsed="false">
      <c r="A26" s="50" t="s">
        <v>593</v>
      </c>
      <c r="B26" s="51" t="s">
        <v>584</v>
      </c>
      <c r="C26" s="26" t="n">
        <f aca="false">COUNTIF('Framework Crosswalk'!$A$5:$A$977,A26)</f>
        <v>8</v>
      </c>
      <c r="D26" s="26" t="n">
        <f aca="false">C26-COUNTIFS('Framework Crosswalk'!$A$5:$A$977,A26,'Framework Crosswalk'!$K$5:$K$977,"No wiki control")</f>
        <v>8</v>
      </c>
      <c r="E26" s="26" t="n">
        <f aca="false">COUNTIFS('Framework Crosswalk'!$A$5:$A$977,A26,'Framework Crosswalk'!$K$5:$K$977,"Fully covered")</f>
        <v>0</v>
      </c>
      <c r="F26" s="26" t="n">
        <f aca="false">COUNTIFS('Framework Crosswalk'!$A$5:$A$977,A26,'Framework Crosswalk'!$K$5:$K$977,"Partly covered")</f>
        <v>0</v>
      </c>
      <c r="G26" s="26" t="n">
        <f aca="false">COUNTIFS('Framework Crosswalk'!$A$5:$A$977,A26,'Framework Crosswalk'!$K$5:$K$977,"Not covered")</f>
        <v>8</v>
      </c>
      <c r="H26" s="48" t="n">
        <f aca="false">IF(D26=0,"",E26/D26)</f>
        <v>0</v>
      </c>
    </row>
    <row r="27" customFormat="false" ht="15" hidden="false" customHeight="false" outlineLevel="0" collapsed="false">
      <c r="A27" s="50" t="s">
        <v>594</v>
      </c>
      <c r="B27" s="51" t="s">
        <v>584</v>
      </c>
      <c r="C27" s="26" t="n">
        <f aca="false">COUNTIF('Framework Crosswalk'!$A$5:$A$977,A27)</f>
        <v>4</v>
      </c>
      <c r="D27" s="26" t="n">
        <f aca="false">C27-COUNTIFS('Framework Crosswalk'!$A$5:$A$977,A27,'Framework Crosswalk'!$K$5:$K$977,"No wiki control")</f>
        <v>3</v>
      </c>
      <c r="E27" s="26" t="n">
        <f aca="false">COUNTIFS('Framework Crosswalk'!$A$5:$A$977,A27,'Framework Crosswalk'!$K$5:$K$977,"Fully covered")</f>
        <v>0</v>
      </c>
      <c r="F27" s="26" t="n">
        <f aca="false">COUNTIFS('Framework Crosswalk'!$A$5:$A$977,A27,'Framework Crosswalk'!$K$5:$K$977,"Partly covered")</f>
        <v>0</v>
      </c>
      <c r="G27" s="26" t="n">
        <f aca="false">COUNTIFS('Framework Crosswalk'!$A$5:$A$977,A27,'Framework Crosswalk'!$K$5:$K$977,"Not covered")</f>
        <v>3</v>
      </c>
      <c r="H27" s="48" t="n">
        <f aca="false">IF(D27=0,"",E27/D27)</f>
        <v>0</v>
      </c>
    </row>
    <row r="28" customFormat="false" ht="15" hidden="false" customHeight="false" outlineLevel="0" collapsed="false">
      <c r="A28" s="50" t="s">
        <v>595</v>
      </c>
      <c r="B28" s="51" t="s">
        <v>584</v>
      </c>
      <c r="C28" s="26" t="n">
        <f aca="false">COUNTIF('Framework Crosswalk'!$A$5:$A$977,A28)</f>
        <v>4</v>
      </c>
      <c r="D28" s="26" t="n">
        <f aca="false">C28-COUNTIFS('Framework Crosswalk'!$A$5:$A$977,A28,'Framework Crosswalk'!$K$5:$K$977,"No wiki control")</f>
        <v>1</v>
      </c>
      <c r="E28" s="26" t="n">
        <f aca="false">COUNTIFS('Framework Crosswalk'!$A$5:$A$977,A28,'Framework Crosswalk'!$K$5:$K$977,"Fully covered")</f>
        <v>0</v>
      </c>
      <c r="F28" s="26" t="n">
        <f aca="false">COUNTIFS('Framework Crosswalk'!$A$5:$A$977,A28,'Framework Crosswalk'!$K$5:$K$977,"Partly covered")</f>
        <v>0</v>
      </c>
      <c r="G28" s="26" t="n">
        <f aca="false">COUNTIFS('Framework Crosswalk'!$A$5:$A$977,A28,'Framework Crosswalk'!$K$5:$K$977,"Not covered")</f>
        <v>1</v>
      </c>
      <c r="H28" s="48" t="n">
        <f aca="false">IF(D28=0,"",E28/D28)</f>
        <v>0</v>
      </c>
    </row>
    <row r="29" customFormat="false" ht="15" hidden="false" customHeight="false" outlineLevel="0" collapsed="false">
      <c r="A29" s="50" t="s">
        <v>596</v>
      </c>
      <c r="B29" s="51" t="s">
        <v>584</v>
      </c>
      <c r="C29" s="26" t="n">
        <f aca="false">COUNTIF('Framework Crosswalk'!$A$5:$A$977,A29)</f>
        <v>7</v>
      </c>
      <c r="D29" s="26" t="n">
        <f aca="false">C29-COUNTIFS('Framework Crosswalk'!$A$5:$A$977,A29,'Framework Crosswalk'!$K$5:$K$977,"No wiki control")</f>
        <v>4</v>
      </c>
      <c r="E29" s="26" t="n">
        <f aca="false">COUNTIFS('Framework Crosswalk'!$A$5:$A$977,A29,'Framework Crosswalk'!$K$5:$K$977,"Fully covered")</f>
        <v>0</v>
      </c>
      <c r="F29" s="26" t="n">
        <f aca="false">COUNTIFS('Framework Crosswalk'!$A$5:$A$977,A29,'Framework Crosswalk'!$K$5:$K$977,"Partly covered")</f>
        <v>0</v>
      </c>
      <c r="G29" s="26" t="n">
        <f aca="false">COUNTIFS('Framework Crosswalk'!$A$5:$A$977,A29,'Framework Crosswalk'!$K$5:$K$977,"Not covered")</f>
        <v>4</v>
      </c>
      <c r="H29" s="48" t="n">
        <f aca="false">IF(D29=0,"",E29/D29)</f>
        <v>0</v>
      </c>
    </row>
    <row r="30" customFormat="false" ht="15" hidden="false" customHeight="false" outlineLevel="0" collapsed="false">
      <c r="A30" s="52" t="s">
        <v>597</v>
      </c>
      <c r="B30" s="53" t="s">
        <v>598</v>
      </c>
      <c r="C30" s="26" t="n">
        <f aca="false">COUNTIF('Framework Crosswalk'!$A$5:$A$977,A30)</f>
        <v>22</v>
      </c>
      <c r="D30" s="26" t="n">
        <f aca="false">C30-COUNTIFS('Framework Crosswalk'!$A$5:$A$977,A30,'Framework Crosswalk'!$K$5:$K$977,"No wiki control")</f>
        <v>21</v>
      </c>
      <c r="E30" s="26" t="n">
        <f aca="false">COUNTIFS('Framework Crosswalk'!$A$5:$A$977,A30,'Framework Crosswalk'!$K$5:$K$977,"Fully covered")</f>
        <v>0</v>
      </c>
      <c r="F30" s="26" t="n">
        <f aca="false">COUNTIFS('Framework Crosswalk'!$A$5:$A$977,A30,'Framework Crosswalk'!$K$5:$K$977,"Partly covered")</f>
        <v>0</v>
      </c>
      <c r="G30" s="26" t="n">
        <f aca="false">COUNTIFS('Framework Crosswalk'!$A$5:$A$977,A30,'Framework Crosswalk'!$K$5:$K$977,"Not covered")</f>
        <v>21</v>
      </c>
      <c r="H30" s="48" t="n">
        <f aca="false">IF(D30=0,"",E30/D30)</f>
        <v>0</v>
      </c>
    </row>
    <row r="31" customFormat="false" ht="15" hidden="false" customHeight="false" outlineLevel="0" collapsed="false">
      <c r="A31" s="52" t="s">
        <v>599</v>
      </c>
      <c r="B31" s="53" t="s">
        <v>598</v>
      </c>
      <c r="C31" s="26" t="n">
        <f aca="false">COUNTIF('Framework Crosswalk'!$A$5:$A$977,A31)</f>
        <v>18</v>
      </c>
      <c r="D31" s="26" t="n">
        <f aca="false">C31-COUNTIFS('Framework Crosswalk'!$A$5:$A$977,A31,'Framework Crosswalk'!$K$5:$K$977,"No wiki control")</f>
        <v>18</v>
      </c>
      <c r="E31" s="26" t="n">
        <f aca="false">COUNTIFS('Framework Crosswalk'!$A$5:$A$977,A31,'Framework Crosswalk'!$K$5:$K$977,"Fully covered")</f>
        <v>0</v>
      </c>
      <c r="F31" s="26" t="n">
        <f aca="false">COUNTIFS('Framework Crosswalk'!$A$5:$A$977,A31,'Framework Crosswalk'!$K$5:$K$977,"Partly covered")</f>
        <v>0</v>
      </c>
      <c r="G31" s="26" t="n">
        <f aca="false">COUNTIFS('Framework Crosswalk'!$A$5:$A$977,A31,'Framework Crosswalk'!$K$5:$K$977,"Not covered")</f>
        <v>18</v>
      </c>
      <c r="H31" s="48" t="n">
        <f aca="false">IF(D31=0,"",E31/D31)</f>
        <v>0</v>
      </c>
    </row>
    <row r="32" customFormat="false" ht="15" hidden="false" customHeight="false" outlineLevel="0" collapsed="false">
      <c r="A32" s="52" t="s">
        <v>600</v>
      </c>
      <c r="B32" s="53" t="s">
        <v>598</v>
      </c>
      <c r="C32" s="26" t="n">
        <f aca="false">COUNTIF('Framework Crosswalk'!$A$5:$A$977,A32)</f>
        <v>61</v>
      </c>
      <c r="D32" s="26" t="n">
        <f aca="false">C32-COUNTIFS('Framework Crosswalk'!$A$5:$A$977,A32,'Framework Crosswalk'!$K$5:$K$977,"No wiki control")</f>
        <v>38</v>
      </c>
      <c r="E32" s="26" t="n">
        <f aca="false">COUNTIFS('Framework Crosswalk'!$A$5:$A$977,A32,'Framework Crosswalk'!$K$5:$K$977,"Fully covered")</f>
        <v>0</v>
      </c>
      <c r="F32" s="26" t="n">
        <f aca="false">COUNTIFS('Framework Crosswalk'!$A$5:$A$977,A32,'Framework Crosswalk'!$K$5:$K$977,"Partly covered")</f>
        <v>0</v>
      </c>
      <c r="G32" s="26" t="n">
        <f aca="false">COUNTIFS('Framework Crosswalk'!$A$5:$A$977,A32,'Framework Crosswalk'!$K$5:$K$977,"Not covered")</f>
        <v>38</v>
      </c>
      <c r="H32" s="48" t="n">
        <f aca="false">IF(D32=0,"",E32/D32)</f>
        <v>0</v>
      </c>
    </row>
    <row r="33" customFormat="false" ht="15" hidden="false" customHeight="false" outlineLevel="0" collapsed="false">
      <c r="A33" s="52" t="s">
        <v>601</v>
      </c>
      <c r="B33" s="53" t="s">
        <v>598</v>
      </c>
      <c r="C33" s="26" t="n">
        <f aca="false">COUNTIF('Framework Crosswalk'!$A$5:$A$977,A33)</f>
        <v>20</v>
      </c>
      <c r="D33" s="26" t="n">
        <f aca="false">C33-COUNTIFS('Framework Crosswalk'!$A$5:$A$977,A33,'Framework Crosswalk'!$K$5:$K$977,"No wiki control")</f>
        <v>20</v>
      </c>
      <c r="E33" s="26" t="n">
        <f aca="false">COUNTIFS('Framework Crosswalk'!$A$5:$A$977,A33,'Framework Crosswalk'!$K$5:$K$977,"Fully covered")</f>
        <v>0</v>
      </c>
      <c r="F33" s="26" t="n">
        <f aca="false">COUNTIFS('Framework Crosswalk'!$A$5:$A$977,A33,'Framework Crosswalk'!$K$5:$K$977,"Partly covered")</f>
        <v>0</v>
      </c>
      <c r="G33" s="26" t="n">
        <f aca="false">COUNTIFS('Framework Crosswalk'!$A$5:$A$977,A33,'Framework Crosswalk'!$K$5:$K$977,"Not covered")</f>
        <v>20</v>
      </c>
      <c r="H33" s="48" t="n">
        <f aca="false">IF(D33=0,"",E33/D33)</f>
        <v>0</v>
      </c>
    </row>
    <row r="34" customFormat="false" ht="15" hidden="false" customHeight="false" outlineLevel="0" collapsed="false">
      <c r="A34" s="52" t="s">
        <v>602</v>
      </c>
      <c r="B34" s="53" t="s">
        <v>598</v>
      </c>
      <c r="C34" s="26" t="n">
        <f aca="false">COUNTIF('Framework Crosswalk'!$A$5:$A$977,A34)</f>
        <v>14</v>
      </c>
      <c r="D34" s="26" t="n">
        <f aca="false">C34-COUNTIFS('Framework Crosswalk'!$A$5:$A$977,A34,'Framework Crosswalk'!$K$5:$K$977,"No wiki control")</f>
        <v>14</v>
      </c>
      <c r="E34" s="26" t="n">
        <f aca="false">COUNTIFS('Framework Crosswalk'!$A$5:$A$977,A34,'Framework Crosswalk'!$K$5:$K$977,"Fully covered")</f>
        <v>0</v>
      </c>
      <c r="F34" s="26" t="n">
        <f aca="false">COUNTIFS('Framework Crosswalk'!$A$5:$A$977,A34,'Framework Crosswalk'!$K$5:$K$977,"Partly covered")</f>
        <v>0</v>
      </c>
      <c r="G34" s="26" t="n">
        <f aca="false">COUNTIFS('Framework Crosswalk'!$A$5:$A$977,A34,'Framework Crosswalk'!$K$5:$K$977,"Not covered")</f>
        <v>14</v>
      </c>
      <c r="H34" s="48" t="n">
        <f aca="false">IF(D34=0,"",E34/D34)</f>
        <v>0</v>
      </c>
    </row>
    <row r="35" customFormat="false" ht="15" hidden="false" customHeight="false" outlineLevel="0" collapsed="false">
      <c r="A35" s="52" t="s">
        <v>603</v>
      </c>
      <c r="B35" s="53" t="s">
        <v>598</v>
      </c>
      <c r="C35" s="26" t="n">
        <f aca="false">COUNTIF('Framework Crosswalk'!$A$5:$A$977,A35)</f>
        <v>29</v>
      </c>
      <c r="D35" s="26" t="n">
        <f aca="false">C35-COUNTIFS('Framework Crosswalk'!$A$5:$A$977,A35,'Framework Crosswalk'!$K$5:$K$977,"No wiki control")</f>
        <v>29</v>
      </c>
      <c r="E35" s="26" t="n">
        <f aca="false">COUNTIFS('Framework Crosswalk'!$A$5:$A$977,A35,'Framework Crosswalk'!$K$5:$K$977,"Fully covered")</f>
        <v>0</v>
      </c>
      <c r="F35" s="26" t="n">
        <f aca="false">COUNTIFS('Framework Crosswalk'!$A$5:$A$977,A35,'Framework Crosswalk'!$K$5:$K$977,"Partly covered")</f>
        <v>0</v>
      </c>
      <c r="G35" s="26" t="n">
        <f aca="false">COUNTIFS('Framework Crosswalk'!$A$5:$A$977,A35,'Framework Crosswalk'!$K$5:$K$977,"Not covered")</f>
        <v>29</v>
      </c>
      <c r="H35" s="48" t="n">
        <f aca="false">IF(D35=0,"",E35/D35)</f>
        <v>0</v>
      </c>
    </row>
    <row r="36" customFormat="false" ht="15" hidden="false" customHeight="false" outlineLevel="0" collapsed="false">
      <c r="A36" s="54" t="s">
        <v>604</v>
      </c>
      <c r="B36" s="55" t="s">
        <v>605</v>
      </c>
      <c r="C36" s="26" t="n">
        <f aca="false">COUNTIF('Framework Crosswalk'!$A$5:$A$977,A36)</f>
        <v>5</v>
      </c>
      <c r="D36" s="26" t="n">
        <f aca="false">C36-COUNTIFS('Framework Crosswalk'!$A$5:$A$977,A36,'Framework Crosswalk'!$K$5:$K$977,"No wiki control")</f>
        <v>5</v>
      </c>
      <c r="E36" s="26" t="n">
        <f aca="false">COUNTIFS('Framework Crosswalk'!$A$5:$A$977,A36,'Framework Crosswalk'!$K$5:$K$977,"Fully covered")</f>
        <v>0</v>
      </c>
      <c r="F36" s="26" t="n">
        <f aca="false">COUNTIFS('Framework Crosswalk'!$A$5:$A$977,A36,'Framework Crosswalk'!$K$5:$K$977,"Partly covered")</f>
        <v>0</v>
      </c>
      <c r="G36" s="26" t="n">
        <f aca="false">COUNTIFS('Framework Crosswalk'!$A$5:$A$977,A36,'Framework Crosswalk'!$K$5:$K$977,"Not covered")</f>
        <v>5</v>
      </c>
      <c r="H36" s="48" t="n">
        <f aca="false">IF(D36=0,"",E36/D36)</f>
        <v>0</v>
      </c>
    </row>
    <row r="37" customFormat="false" ht="15" hidden="false" customHeight="false" outlineLevel="0" collapsed="false">
      <c r="A37" s="54" t="s">
        <v>606</v>
      </c>
      <c r="B37" s="55" t="s">
        <v>605</v>
      </c>
      <c r="C37" s="26" t="n">
        <f aca="false">COUNTIF('Framework Crosswalk'!$A$5:$A$977,A37)</f>
        <v>7</v>
      </c>
      <c r="D37" s="26" t="n">
        <f aca="false">C37-COUNTIFS('Framework Crosswalk'!$A$5:$A$977,A37,'Framework Crosswalk'!$K$5:$K$977,"No wiki control")</f>
        <v>6</v>
      </c>
      <c r="E37" s="26" t="n">
        <f aca="false">COUNTIFS('Framework Crosswalk'!$A$5:$A$977,A37,'Framework Crosswalk'!$K$5:$K$977,"Fully covered")</f>
        <v>0</v>
      </c>
      <c r="F37" s="26" t="n">
        <f aca="false">COUNTIFS('Framework Crosswalk'!$A$5:$A$977,A37,'Framework Crosswalk'!$K$5:$K$977,"Partly covered")</f>
        <v>0</v>
      </c>
      <c r="G37" s="26" t="n">
        <f aca="false">COUNTIFS('Framework Crosswalk'!$A$5:$A$977,A37,'Framework Crosswalk'!$K$5:$K$977,"Not covered")</f>
        <v>6</v>
      </c>
      <c r="H37" s="48" t="n">
        <f aca="false">IF(D37=0,"",E37/D37)</f>
        <v>0</v>
      </c>
    </row>
    <row r="38" customFormat="false" ht="15" hidden="false" customHeight="false" outlineLevel="0" collapsed="false">
      <c r="A38" s="54" t="s">
        <v>607</v>
      </c>
      <c r="B38" s="55" t="s">
        <v>605</v>
      </c>
      <c r="C38" s="26" t="n">
        <f aca="false">COUNTIF('Framework Crosswalk'!$A$5:$A$977,A38)</f>
        <v>10</v>
      </c>
      <c r="D38" s="26" t="n">
        <f aca="false">C38-COUNTIFS('Framework Crosswalk'!$A$5:$A$977,A38,'Framework Crosswalk'!$K$5:$K$977,"No wiki control")</f>
        <v>9</v>
      </c>
      <c r="E38" s="26" t="n">
        <f aca="false">COUNTIFS('Framework Crosswalk'!$A$5:$A$977,A38,'Framework Crosswalk'!$K$5:$K$977,"Fully covered")</f>
        <v>0</v>
      </c>
      <c r="F38" s="26" t="n">
        <f aca="false">COUNTIFS('Framework Crosswalk'!$A$5:$A$977,A38,'Framework Crosswalk'!$K$5:$K$977,"Partly covered")</f>
        <v>0</v>
      </c>
      <c r="G38" s="26" t="n">
        <f aca="false">COUNTIFS('Framework Crosswalk'!$A$5:$A$977,A38,'Framework Crosswalk'!$K$5:$K$977,"Not covered")</f>
        <v>9</v>
      </c>
      <c r="H38" s="48" t="n">
        <f aca="false">IF(D38=0,"",E38/D38)</f>
        <v>0</v>
      </c>
    </row>
    <row r="39" customFormat="false" ht="15" hidden="false" customHeight="false" outlineLevel="0" collapsed="false">
      <c r="A39" s="54" t="s">
        <v>608</v>
      </c>
      <c r="B39" s="55" t="s">
        <v>605</v>
      </c>
      <c r="C39" s="26" t="n">
        <f aca="false">COUNTIF('Framework Crosswalk'!$A$5:$A$977,A39)</f>
        <v>5</v>
      </c>
      <c r="D39" s="26" t="n">
        <f aca="false">C39-COUNTIFS('Framework Crosswalk'!$A$5:$A$977,A39,'Framework Crosswalk'!$K$5:$K$977,"No wiki control")</f>
        <v>4</v>
      </c>
      <c r="E39" s="26" t="n">
        <f aca="false">COUNTIFS('Framework Crosswalk'!$A$5:$A$977,A39,'Framework Crosswalk'!$K$5:$K$977,"Fully covered")</f>
        <v>0</v>
      </c>
      <c r="F39" s="26" t="n">
        <f aca="false">COUNTIFS('Framework Crosswalk'!$A$5:$A$977,A39,'Framework Crosswalk'!$K$5:$K$977,"Partly covered")</f>
        <v>0</v>
      </c>
      <c r="G39" s="26" t="n">
        <f aca="false">COUNTIFS('Framework Crosswalk'!$A$5:$A$977,A39,'Framework Crosswalk'!$K$5:$K$977,"Not covered")</f>
        <v>4</v>
      </c>
      <c r="H39" s="48" t="n">
        <f aca="false">IF(D39=0,"",E39/D39)</f>
        <v>0</v>
      </c>
    </row>
    <row r="40" customFormat="false" ht="15" hidden="false" customHeight="false" outlineLevel="0" collapsed="false">
      <c r="A40" s="56" t="s">
        <v>609</v>
      </c>
      <c r="B40" s="39" t="s">
        <v>610</v>
      </c>
      <c r="C40" s="26" t="n">
        <f aca="false">COUNTIF('Framework Crosswalk'!$A$5:$A$977,A40)</f>
        <v>12</v>
      </c>
      <c r="D40" s="26" t="n">
        <f aca="false">C40-COUNTIFS('Framework Crosswalk'!$A$5:$A$977,A40,'Framework Crosswalk'!$K$5:$K$977,"No wiki control")</f>
        <v>10</v>
      </c>
      <c r="E40" s="26" t="n">
        <f aca="false">COUNTIFS('Framework Crosswalk'!$A$5:$A$977,A40,'Framework Crosswalk'!$K$5:$K$977,"Fully covered")</f>
        <v>0</v>
      </c>
      <c r="F40" s="26" t="n">
        <f aca="false">COUNTIFS('Framework Crosswalk'!$A$5:$A$977,A40,'Framework Crosswalk'!$K$5:$K$977,"Partly covered")</f>
        <v>0</v>
      </c>
      <c r="G40" s="26" t="n">
        <f aca="false">COUNTIFS('Framework Crosswalk'!$A$5:$A$977,A40,'Framework Crosswalk'!$K$5:$K$977,"Not covered")</f>
        <v>10</v>
      </c>
      <c r="H40" s="48" t="n">
        <f aca="false">IF(D40=0,"",E40/D40)</f>
        <v>0</v>
      </c>
    </row>
    <row r="41" customFormat="false" ht="15" hidden="false" customHeight="false" outlineLevel="0" collapsed="false">
      <c r="A41" s="56" t="s">
        <v>611</v>
      </c>
      <c r="B41" s="39" t="s">
        <v>610</v>
      </c>
      <c r="C41" s="26" t="n">
        <f aca="false">COUNTIF('Framework Crosswalk'!$A$5:$A$977,A41)</f>
        <v>11</v>
      </c>
      <c r="D41" s="26" t="n">
        <f aca="false">C41-COUNTIFS('Framework Crosswalk'!$A$5:$A$977,A41,'Framework Crosswalk'!$K$5:$K$977,"No wiki control")</f>
        <v>8</v>
      </c>
      <c r="E41" s="26" t="n">
        <f aca="false">COUNTIFS('Framework Crosswalk'!$A$5:$A$977,A41,'Framework Crosswalk'!$K$5:$K$977,"Fully covered")</f>
        <v>0</v>
      </c>
      <c r="F41" s="26" t="n">
        <f aca="false">COUNTIFS('Framework Crosswalk'!$A$5:$A$977,A41,'Framework Crosswalk'!$K$5:$K$977,"Partly covered")</f>
        <v>0</v>
      </c>
      <c r="G41" s="26" t="n">
        <f aca="false">COUNTIFS('Framework Crosswalk'!$A$5:$A$977,A41,'Framework Crosswalk'!$K$5:$K$977,"Not covered")</f>
        <v>8</v>
      </c>
      <c r="H41" s="48" t="n">
        <f aca="false">IF(D41=0,"",E41/D41)</f>
        <v>0</v>
      </c>
    </row>
    <row r="42" customFormat="false" ht="15" hidden="false" customHeight="false" outlineLevel="0" collapsed="false">
      <c r="A42" s="57" t="s">
        <v>612</v>
      </c>
      <c r="B42" s="58" t="s">
        <v>613</v>
      </c>
      <c r="C42" s="26" t="n">
        <f aca="false">COUNTIF('Framework Crosswalk'!$A$5:$A$977,A42)</f>
        <v>14</v>
      </c>
      <c r="D42" s="26" t="n">
        <f aca="false">C42-COUNTIFS('Framework Crosswalk'!$A$5:$A$977,A42,'Framework Crosswalk'!$K$5:$K$977,"No wiki control")</f>
        <v>14</v>
      </c>
      <c r="E42" s="26" t="n">
        <f aca="false">COUNTIFS('Framework Crosswalk'!$A$5:$A$977,A42,'Framework Crosswalk'!$K$5:$K$977,"Fully covered")</f>
        <v>0</v>
      </c>
      <c r="F42" s="26" t="n">
        <f aca="false">COUNTIFS('Framework Crosswalk'!$A$5:$A$977,A42,'Framework Crosswalk'!$K$5:$K$977,"Partly covered")</f>
        <v>0</v>
      </c>
      <c r="G42" s="26" t="n">
        <f aca="false">COUNTIFS('Framework Crosswalk'!$A$5:$A$977,A42,'Framework Crosswalk'!$K$5:$K$977,"Not covered")</f>
        <v>14</v>
      </c>
      <c r="H42" s="48" t="n">
        <f aca="false">IF(D42=0,"",E42/D42)</f>
        <v>0</v>
      </c>
    </row>
    <row r="43" customFormat="false" ht="15" hidden="false" customHeight="false" outlineLevel="0" collapsed="false">
      <c r="A43" s="57" t="s">
        <v>614</v>
      </c>
      <c r="B43" s="58" t="s">
        <v>613</v>
      </c>
      <c r="C43" s="26" t="n">
        <f aca="false">COUNTIF('Framework Crosswalk'!$A$5:$A$977,A43)</f>
        <v>33</v>
      </c>
      <c r="D43" s="26" t="n">
        <f aca="false">C43-COUNTIFS('Framework Crosswalk'!$A$5:$A$977,A43,'Framework Crosswalk'!$K$5:$K$977,"No wiki control")</f>
        <v>26</v>
      </c>
      <c r="E43" s="26" t="n">
        <f aca="false">COUNTIFS('Framework Crosswalk'!$A$5:$A$977,A43,'Framework Crosswalk'!$K$5:$K$977,"Fully covered")</f>
        <v>0</v>
      </c>
      <c r="F43" s="26" t="n">
        <f aca="false">COUNTIFS('Framework Crosswalk'!$A$5:$A$977,A43,'Framework Crosswalk'!$K$5:$K$977,"Partly covered")</f>
        <v>0</v>
      </c>
      <c r="G43" s="26" t="n">
        <f aca="false">COUNTIFS('Framework Crosswalk'!$A$5:$A$977,A43,'Framework Crosswalk'!$K$5:$K$977,"Not covered")</f>
        <v>26</v>
      </c>
      <c r="H43" s="48" t="n">
        <f aca="false">IF(D43=0,"",E43/D43)</f>
        <v>0</v>
      </c>
    </row>
    <row r="44" customFormat="false" ht="15" hidden="false" customHeight="false" outlineLevel="0" collapsed="false">
      <c r="A44" s="57" t="s">
        <v>615</v>
      </c>
      <c r="B44" s="58" t="s">
        <v>613</v>
      </c>
      <c r="C44" s="26" t="n">
        <f aca="false">COUNTIF('Framework Crosswalk'!$A$5:$A$977,A44)</f>
        <v>23</v>
      </c>
      <c r="D44" s="26" t="n">
        <f aca="false">C44-COUNTIFS('Framework Crosswalk'!$A$5:$A$977,A44,'Framework Crosswalk'!$K$5:$K$977,"No wiki control")</f>
        <v>21</v>
      </c>
      <c r="E44" s="26" t="n">
        <f aca="false">COUNTIFS('Framework Crosswalk'!$A$5:$A$977,A44,'Framework Crosswalk'!$K$5:$K$977,"Fully covered")</f>
        <v>0</v>
      </c>
      <c r="F44" s="26" t="n">
        <f aca="false">COUNTIFS('Framework Crosswalk'!$A$5:$A$977,A44,'Framework Crosswalk'!$K$5:$K$977,"Partly covered")</f>
        <v>0</v>
      </c>
      <c r="G44" s="26" t="n">
        <f aca="false">COUNTIFS('Framework Crosswalk'!$A$5:$A$977,A44,'Framework Crosswalk'!$K$5:$K$977,"Not covered")</f>
        <v>21</v>
      </c>
      <c r="H44" s="48" t="n">
        <f aca="false">IF(D44=0,"",E44/D44)</f>
        <v>0</v>
      </c>
    </row>
    <row r="45" customFormat="false" ht="15" hidden="false" customHeight="false" outlineLevel="0" collapsed="false">
      <c r="A45" s="57" t="s">
        <v>616</v>
      </c>
      <c r="B45" s="58" t="s">
        <v>613</v>
      </c>
      <c r="C45" s="26" t="n">
        <f aca="false">COUNTIF('Framework Crosswalk'!$A$5:$A$977,A45)</f>
        <v>13</v>
      </c>
      <c r="D45" s="26" t="n">
        <f aca="false">C45-COUNTIFS('Framework Crosswalk'!$A$5:$A$977,A45,'Framework Crosswalk'!$K$5:$K$977,"No wiki control")</f>
        <v>12</v>
      </c>
      <c r="E45" s="26" t="n">
        <f aca="false">COUNTIFS('Framework Crosswalk'!$A$5:$A$977,A45,'Framework Crosswalk'!$K$5:$K$977,"Fully covered")</f>
        <v>0</v>
      </c>
      <c r="F45" s="26" t="n">
        <f aca="false">COUNTIFS('Framework Crosswalk'!$A$5:$A$977,A45,'Framework Crosswalk'!$K$5:$K$977,"Partly covered")</f>
        <v>0</v>
      </c>
      <c r="G45" s="26" t="n">
        <f aca="false">COUNTIFS('Framework Crosswalk'!$A$5:$A$977,A45,'Framework Crosswalk'!$K$5:$K$977,"Not covered")</f>
        <v>12</v>
      </c>
      <c r="H45" s="48" t="n">
        <f aca="false">IF(D45=0,"",E45/D45)</f>
        <v>0</v>
      </c>
    </row>
    <row r="46" customFormat="false" ht="15" hidden="false" customHeight="false" outlineLevel="0" collapsed="false">
      <c r="A46" s="57" t="s">
        <v>617</v>
      </c>
      <c r="B46" s="58" t="s">
        <v>613</v>
      </c>
      <c r="C46" s="26" t="n">
        <f aca="false">COUNTIF('Framework Crosswalk'!$A$5:$A$977,A46)</f>
        <v>17</v>
      </c>
      <c r="D46" s="26" t="n">
        <f aca="false">C46-COUNTIFS('Framework Crosswalk'!$A$5:$A$977,A46,'Framework Crosswalk'!$K$5:$K$977,"No wiki control")</f>
        <v>13</v>
      </c>
      <c r="E46" s="26" t="n">
        <f aca="false">COUNTIFS('Framework Crosswalk'!$A$5:$A$977,A46,'Framework Crosswalk'!$K$5:$K$977,"Fully covered")</f>
        <v>0</v>
      </c>
      <c r="F46" s="26" t="n">
        <f aca="false">COUNTIFS('Framework Crosswalk'!$A$5:$A$977,A46,'Framework Crosswalk'!$K$5:$K$977,"Partly covered")</f>
        <v>0</v>
      </c>
      <c r="G46" s="26" t="n">
        <f aca="false">COUNTIFS('Framework Crosswalk'!$A$5:$A$977,A46,'Framework Crosswalk'!$K$5:$K$977,"Not covered")</f>
        <v>13</v>
      </c>
      <c r="H46" s="48" t="n">
        <f aca="false">IF(D46=0,"",E46/D46)</f>
        <v>0</v>
      </c>
    </row>
    <row r="47" customFormat="false" ht="15" hidden="false" customHeight="false" outlineLevel="0" collapsed="false">
      <c r="A47" s="57" t="s">
        <v>618</v>
      </c>
      <c r="B47" s="58" t="s">
        <v>613</v>
      </c>
      <c r="C47" s="26" t="n">
        <f aca="false">COUNTIF('Framework Crosswalk'!$A$5:$A$977,A47)</f>
        <v>10</v>
      </c>
      <c r="D47" s="26" t="n">
        <f aca="false">C47-COUNTIFS('Framework Crosswalk'!$A$5:$A$977,A47,'Framework Crosswalk'!$K$5:$K$977,"No wiki control")</f>
        <v>9</v>
      </c>
      <c r="E47" s="26" t="n">
        <f aca="false">COUNTIFS('Framework Crosswalk'!$A$5:$A$977,A47,'Framework Crosswalk'!$K$5:$K$977,"Fully covered")</f>
        <v>0</v>
      </c>
      <c r="F47" s="26" t="n">
        <f aca="false">COUNTIFS('Framework Crosswalk'!$A$5:$A$977,A47,'Framework Crosswalk'!$K$5:$K$977,"Partly covered")</f>
        <v>0</v>
      </c>
      <c r="G47" s="26" t="n">
        <f aca="false">COUNTIFS('Framework Crosswalk'!$A$5:$A$977,A47,'Framework Crosswalk'!$K$5:$K$977,"Not covered")</f>
        <v>9</v>
      </c>
      <c r="H47" s="48" t="n">
        <f aca="false">IF(D47=0,"",E47/D47)</f>
        <v>0</v>
      </c>
    </row>
    <row r="48" customFormat="false" ht="15" hidden="false" customHeight="false" outlineLevel="0" collapsed="false">
      <c r="A48" s="57" t="s">
        <v>619</v>
      </c>
      <c r="B48" s="58" t="s">
        <v>613</v>
      </c>
      <c r="C48" s="26" t="n">
        <f aca="false">COUNTIF('Framework Crosswalk'!$A$5:$A$977,A48)</f>
        <v>4</v>
      </c>
      <c r="D48" s="26" t="n">
        <f aca="false">C48-COUNTIFS('Framework Crosswalk'!$A$5:$A$977,A48,'Framework Crosswalk'!$K$5:$K$977,"No wiki control")</f>
        <v>4</v>
      </c>
      <c r="E48" s="26" t="n">
        <f aca="false">COUNTIFS('Framework Crosswalk'!$A$5:$A$977,A48,'Framework Crosswalk'!$K$5:$K$977,"Fully covered")</f>
        <v>0</v>
      </c>
      <c r="F48" s="26" t="n">
        <f aca="false">COUNTIFS('Framework Crosswalk'!$A$5:$A$977,A48,'Framework Crosswalk'!$K$5:$K$977,"Partly covered")</f>
        <v>0</v>
      </c>
      <c r="G48" s="26" t="n">
        <f aca="false">COUNTIFS('Framework Crosswalk'!$A$5:$A$977,A48,'Framework Crosswalk'!$K$5:$K$977,"Not covered")</f>
        <v>4</v>
      </c>
      <c r="H48" s="48" t="n">
        <f aca="false">IF(D48=0,"",E48/D48)</f>
        <v>0</v>
      </c>
    </row>
    <row r="49" customFormat="false" ht="15" hidden="false" customHeight="false" outlineLevel="0" collapsed="false">
      <c r="A49" s="57" t="s">
        <v>620</v>
      </c>
      <c r="B49" s="58" t="s">
        <v>613</v>
      </c>
      <c r="C49" s="26" t="n">
        <f aca="false">COUNTIF('Framework Crosswalk'!$A$5:$A$977,A49)</f>
        <v>8</v>
      </c>
      <c r="D49" s="26" t="n">
        <f aca="false">C49-COUNTIFS('Framework Crosswalk'!$A$5:$A$977,A49,'Framework Crosswalk'!$K$5:$K$977,"No wiki control")</f>
        <v>7</v>
      </c>
      <c r="E49" s="26" t="n">
        <f aca="false">COUNTIFS('Framework Crosswalk'!$A$5:$A$977,A49,'Framework Crosswalk'!$K$5:$K$977,"Fully covered")</f>
        <v>0</v>
      </c>
      <c r="F49" s="26" t="n">
        <f aca="false">COUNTIFS('Framework Crosswalk'!$A$5:$A$977,A49,'Framework Crosswalk'!$K$5:$K$977,"Partly covered")</f>
        <v>0</v>
      </c>
      <c r="G49" s="26" t="n">
        <f aca="false">COUNTIFS('Framework Crosswalk'!$A$5:$A$977,A49,'Framework Crosswalk'!$K$5:$K$977,"Not covered")</f>
        <v>7</v>
      </c>
      <c r="H49" s="48" t="n">
        <f aca="false">IF(D49=0,"",E49/D49)</f>
        <v>0</v>
      </c>
    </row>
    <row r="50" customFormat="false" ht="15" hidden="false" customHeight="false" outlineLevel="0" collapsed="false">
      <c r="A50" s="57" t="s">
        <v>621</v>
      </c>
      <c r="B50" s="58" t="s">
        <v>613</v>
      </c>
      <c r="C50" s="26" t="n">
        <f aca="false">COUNTIF('Framework Crosswalk'!$A$5:$A$977,A50)</f>
        <v>9</v>
      </c>
      <c r="D50" s="26" t="n">
        <f aca="false">C50-COUNTIFS('Framework Crosswalk'!$A$5:$A$977,A50,'Framework Crosswalk'!$K$5:$K$977,"No wiki control")</f>
        <v>8</v>
      </c>
      <c r="E50" s="26" t="n">
        <f aca="false">COUNTIFS('Framework Crosswalk'!$A$5:$A$977,A50,'Framework Crosswalk'!$K$5:$K$977,"Fully covered")</f>
        <v>0</v>
      </c>
      <c r="F50" s="26" t="n">
        <f aca="false">COUNTIFS('Framework Crosswalk'!$A$5:$A$977,A50,'Framework Crosswalk'!$K$5:$K$977,"Partly covered")</f>
        <v>0</v>
      </c>
      <c r="G50" s="26" t="n">
        <f aca="false">COUNTIFS('Framework Crosswalk'!$A$5:$A$977,A50,'Framework Crosswalk'!$K$5:$K$977,"Not covered")</f>
        <v>8</v>
      </c>
      <c r="H50" s="48" t="n">
        <f aca="false">IF(D50=0,"",E50/D50)</f>
        <v>0</v>
      </c>
    </row>
    <row r="51" customFormat="false" ht="15" hidden="false" customHeight="false" outlineLevel="0" collapsed="false">
      <c r="A51" s="57" t="s">
        <v>622</v>
      </c>
      <c r="B51" s="58" t="s">
        <v>613</v>
      </c>
      <c r="C51" s="26" t="n">
        <f aca="false">COUNTIF('Framework Crosswalk'!$A$5:$A$977,A51)</f>
        <v>13</v>
      </c>
      <c r="D51" s="26" t="n">
        <f aca="false">C51-COUNTIFS('Framework Crosswalk'!$A$5:$A$977,A51,'Framework Crosswalk'!$K$5:$K$977,"No wiki control")</f>
        <v>12</v>
      </c>
      <c r="E51" s="26" t="n">
        <f aca="false">COUNTIFS('Framework Crosswalk'!$A$5:$A$977,A51,'Framework Crosswalk'!$K$5:$K$977,"Fully covered")</f>
        <v>0</v>
      </c>
      <c r="F51" s="26" t="n">
        <f aca="false">COUNTIFS('Framework Crosswalk'!$A$5:$A$977,A51,'Framework Crosswalk'!$K$5:$K$977,"Partly covered")</f>
        <v>0</v>
      </c>
      <c r="G51" s="26" t="n">
        <f aca="false">COUNTIFS('Framework Crosswalk'!$A$5:$A$977,A51,'Framework Crosswalk'!$K$5:$K$977,"Not covered")</f>
        <v>12</v>
      </c>
      <c r="H51" s="48" t="n">
        <f aca="false">IF(D51=0,"",E51/D51)</f>
        <v>0</v>
      </c>
    </row>
    <row r="52" customFormat="false" ht="15" hidden="false" customHeight="false" outlineLevel="0" collapsed="false">
      <c r="A52" s="57" t="s">
        <v>623</v>
      </c>
      <c r="B52" s="58" t="s">
        <v>613</v>
      </c>
      <c r="C52" s="26" t="n">
        <f aca="false">COUNTIF('Framework Crosswalk'!$A$5:$A$977,A52)</f>
        <v>6</v>
      </c>
      <c r="D52" s="26" t="n">
        <f aca="false">C52-COUNTIFS('Framework Crosswalk'!$A$5:$A$977,A52,'Framework Crosswalk'!$K$5:$K$977,"No wiki control")</f>
        <v>6</v>
      </c>
      <c r="E52" s="26" t="n">
        <f aca="false">COUNTIFS('Framework Crosswalk'!$A$5:$A$977,A52,'Framework Crosswalk'!$K$5:$K$977,"Fully covered")</f>
        <v>0</v>
      </c>
      <c r="F52" s="26" t="n">
        <f aca="false">COUNTIFS('Framework Crosswalk'!$A$5:$A$977,A52,'Framework Crosswalk'!$K$5:$K$977,"Partly covered")</f>
        <v>0</v>
      </c>
      <c r="G52" s="26" t="n">
        <f aca="false">COUNTIFS('Framework Crosswalk'!$A$5:$A$977,A52,'Framework Crosswalk'!$K$5:$K$977,"Not covered")</f>
        <v>6</v>
      </c>
      <c r="H52" s="48" t="n">
        <f aca="false">IF(D52=0,"",E52/D52)</f>
        <v>0</v>
      </c>
    </row>
    <row r="53" customFormat="false" ht="15" hidden="false" customHeight="false" outlineLevel="0" collapsed="false">
      <c r="A53" s="57" t="s">
        <v>624</v>
      </c>
      <c r="B53" s="58" t="s">
        <v>613</v>
      </c>
      <c r="C53" s="26" t="n">
        <f aca="false">COUNTIF('Framework Crosswalk'!$A$5:$A$977,A53)</f>
        <v>34</v>
      </c>
      <c r="D53" s="26" t="n">
        <f aca="false">C53-COUNTIFS('Framework Crosswalk'!$A$5:$A$977,A53,'Framework Crosswalk'!$K$5:$K$977,"No wiki control")</f>
        <v>34</v>
      </c>
      <c r="E53" s="26" t="n">
        <f aca="false">COUNTIFS('Framework Crosswalk'!$A$5:$A$977,A53,'Framework Crosswalk'!$K$5:$K$977,"Fully covered")</f>
        <v>0</v>
      </c>
      <c r="F53" s="26" t="n">
        <f aca="false">COUNTIFS('Framework Crosswalk'!$A$5:$A$977,A53,'Framework Crosswalk'!$K$5:$K$977,"Partly covered")</f>
        <v>0</v>
      </c>
      <c r="G53" s="26" t="n">
        <f aca="false">COUNTIFS('Framework Crosswalk'!$A$5:$A$977,A53,'Framework Crosswalk'!$K$5:$K$977,"Not covered")</f>
        <v>34</v>
      </c>
      <c r="H53" s="48" t="n">
        <f aca="false">IF(D53=0,"",E53/D53)</f>
        <v>0</v>
      </c>
    </row>
    <row r="54" customFormat="false" ht="15" hidden="false" customHeight="false" outlineLevel="0" collapsed="false">
      <c r="A54" s="57" t="s">
        <v>625</v>
      </c>
      <c r="B54" s="58" t="s">
        <v>613</v>
      </c>
      <c r="C54" s="26" t="n">
        <f aca="false">COUNTIF('Framework Crosswalk'!$A$5:$A$977,A54)</f>
        <v>8</v>
      </c>
      <c r="D54" s="26" t="n">
        <f aca="false">C54-COUNTIFS('Framework Crosswalk'!$A$5:$A$977,A54,'Framework Crosswalk'!$K$5:$K$977,"No wiki control")</f>
        <v>6</v>
      </c>
      <c r="E54" s="26" t="n">
        <f aca="false">COUNTIFS('Framework Crosswalk'!$A$5:$A$977,A54,'Framework Crosswalk'!$K$5:$K$977,"Fully covered")</f>
        <v>0</v>
      </c>
      <c r="F54" s="26" t="n">
        <f aca="false">COUNTIFS('Framework Crosswalk'!$A$5:$A$977,A54,'Framework Crosswalk'!$K$5:$K$977,"Partly covered")</f>
        <v>0</v>
      </c>
      <c r="G54" s="26" t="n">
        <f aca="false">COUNTIFS('Framework Crosswalk'!$A$5:$A$977,A54,'Framework Crosswalk'!$K$5:$K$977,"Not covered")</f>
        <v>6</v>
      </c>
      <c r="H54" s="48" t="n">
        <f aca="false">IF(D54=0,"",E54/D54)</f>
        <v>0</v>
      </c>
    </row>
    <row r="55" customFormat="false" ht="15" hidden="false" customHeight="false" outlineLevel="0" collapsed="false">
      <c r="A55" s="57" t="s">
        <v>626</v>
      </c>
      <c r="B55" s="58" t="s">
        <v>613</v>
      </c>
      <c r="C55" s="26" t="n">
        <f aca="false">COUNTIF('Framework Crosswalk'!$A$5:$A$977,A55)</f>
        <v>18</v>
      </c>
      <c r="D55" s="26" t="n">
        <f aca="false">C55-COUNTIFS('Framework Crosswalk'!$A$5:$A$977,A55,'Framework Crosswalk'!$K$5:$K$977,"No wiki control")</f>
        <v>17</v>
      </c>
      <c r="E55" s="26" t="n">
        <f aca="false">COUNTIFS('Framework Crosswalk'!$A$5:$A$977,A55,'Framework Crosswalk'!$K$5:$K$977,"Fully covered")</f>
        <v>0</v>
      </c>
      <c r="F55" s="26" t="n">
        <f aca="false">COUNTIFS('Framework Crosswalk'!$A$5:$A$977,A55,'Framework Crosswalk'!$K$5:$K$977,"Partly covered")</f>
        <v>0</v>
      </c>
      <c r="G55" s="26" t="n">
        <f aca="false">COUNTIFS('Framework Crosswalk'!$A$5:$A$977,A55,'Framework Crosswalk'!$K$5:$K$977,"Not covered")</f>
        <v>17</v>
      </c>
      <c r="H55" s="48" t="n">
        <f aca="false">IF(D55=0,"",E55/D55)</f>
        <v>0</v>
      </c>
    </row>
  </sheetData>
  <conditionalFormatting sqref="H5:H55">
    <cfRule type="dataBar" priority="2">
      <dataBar showValue="1" minLength="10" maxLength="90">
        <cfvo type="num" val="0"/>
        <cfvo type="num" val="1"/>
        <color rgb="FF63BE7B"/>
      </dataBar>
      <extLst>
        <ext xmlns:x14="http://schemas.microsoft.com/office/spreadsheetml/2009/9/main" uri="{B025F937-C7B1-47D3-B67F-A62EFF666E3E}">
          <x14:id>{F690C46F-4B88-4F95-A260-00BFDEEF8919}</x14:id>
        </ext>
      </extLst>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F690C46F-4B88-4F95-A260-00BFDEEF8919}">
            <x14:dataBar minLength="10" maxLength="90" axisPosition="none" gradient="true">
              <x14:cfvo type="num">
                <xm:f>0</xm:f>
              </x14:cfvo>
              <x14:cfvo type="num">
                <xm:f>1</xm:f>
              </x14:cfvo>
              <x14:negativeFillColor rgb="FF63BE7B"/>
              <x14:axisColor rgb="FF000000"/>
            </x14:dataBar>
          </x14:cfRule>
          <xm:sqref>H5:H55</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03864"/>
    <pageSetUpPr fitToPage="true"/>
  </sheetPr>
  <dimension ref="A1:L9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3" min="2" style="0" width="18"/>
    <col collapsed="false" customWidth="true" hidden="false" outlineLevel="0" max="4" min="4" style="0" width="42"/>
    <col collapsed="false" customWidth="true" hidden="false" outlineLevel="0" max="5" min="5" style="0" width="34"/>
    <col collapsed="false" customWidth="true" hidden="false" outlineLevel="0" max="6" min="6" style="0" width="18"/>
    <col collapsed="false" customWidth="true" hidden="false" outlineLevel="0" max="7" min="7" style="0" width="26"/>
    <col collapsed="false" customWidth="true" hidden="false" outlineLevel="0" max="8" min="8" style="0" width="16"/>
    <col collapsed="false" customWidth="true" hidden="false" outlineLevel="0" max="9" min="9" style="0" width="10"/>
    <col collapsed="false" customWidth="true" hidden="false" outlineLevel="0" max="10" min="10" style="0" width="12"/>
    <col collapsed="false" customWidth="true" hidden="false" outlineLevel="0" max="11" min="11" style="0" width="16"/>
    <col collapsed="false" customWidth="true" hidden="false" outlineLevel="0" max="12" min="12" style="0" width="30"/>
  </cols>
  <sheetData>
    <row r="1" customFormat="false" ht="30" hidden="false" customHeight="true" outlineLevel="0" collapsed="false">
      <c r="A1" s="59" t="s">
        <v>40</v>
      </c>
      <c r="B1" s="60"/>
      <c r="C1" s="60"/>
      <c r="D1" s="60"/>
      <c r="E1" s="60"/>
      <c r="F1" s="60"/>
      <c r="G1" s="60"/>
      <c r="H1" s="60"/>
      <c r="I1" s="60"/>
      <c r="J1" s="60"/>
      <c r="K1" s="60"/>
      <c r="L1" s="60"/>
    </row>
    <row r="2" customFormat="false" ht="15" hidden="false" customHeight="false" outlineLevel="0" collapsed="false">
      <c r="A2" s="3" t="s">
        <v>627</v>
      </c>
    </row>
    <row r="4" customFormat="false" ht="31.5" hidden="false" customHeight="true" outlineLevel="0" collapsed="false">
      <c r="A4" s="61" t="s">
        <v>561</v>
      </c>
      <c r="B4" s="61" t="s">
        <v>562</v>
      </c>
      <c r="C4" s="61" t="s">
        <v>628</v>
      </c>
      <c r="D4" s="61" t="s">
        <v>629</v>
      </c>
      <c r="E4" s="61" t="s">
        <v>630</v>
      </c>
      <c r="F4" s="61" t="s">
        <v>631</v>
      </c>
      <c r="G4" s="61" t="s">
        <v>632</v>
      </c>
      <c r="H4" s="61" t="s">
        <v>633</v>
      </c>
      <c r="I4" s="35" t="s">
        <v>634</v>
      </c>
      <c r="J4" s="35" t="s">
        <v>635</v>
      </c>
      <c r="K4" s="35" t="s">
        <v>38</v>
      </c>
      <c r="L4" s="61" t="s">
        <v>636</v>
      </c>
    </row>
    <row r="5" customFormat="false" ht="23.85" hidden="false" customHeight="false" outlineLevel="0" collapsed="false">
      <c r="A5" s="47" t="s">
        <v>569</v>
      </c>
      <c r="B5" s="47" t="s">
        <v>570</v>
      </c>
      <c r="C5" s="5" t="s">
        <v>637</v>
      </c>
      <c r="D5" s="6" t="s">
        <v>638</v>
      </c>
      <c r="E5" s="6" t="s">
        <v>639</v>
      </c>
      <c r="F5" s="6" t="s">
        <v>640</v>
      </c>
      <c r="G5" s="6" t="s">
        <v>641</v>
      </c>
      <c r="H5" s="6" t="s">
        <v>642</v>
      </c>
      <c r="I5" s="26" t="n">
        <v>4</v>
      </c>
      <c r="J5" s="26" t="n">
        <f aca="false">COUNTIFS('Control Library'!$A$5:$A$50,"AI-CTRL-039",'Control Library'!$R$5:$R$50,"Implemented")+COUNTIFS('Control Library'!$A$5:$A$50,"AI-CTRL-041",'Control Library'!$R$5:$R$50,"Implemented")+COUNTIFS('Control Library'!$A$5:$A$50,"AI-CTRL-042",'Control Library'!$R$5:$R$50,"Implemented")+COUNTIFS('Control Library'!$A$5:$A$50,"AI-CTRL-045",'Control Library'!$R$5:$R$50,"Implemented")</f>
        <v>0</v>
      </c>
      <c r="K5" s="43" t="str">
        <f aca="false">IF(I5=0,"No wiki control",IF(J5=I5,"Fully covered",IF(J5=0,"Not covered","Partly covered")))</f>
        <v>Not covered</v>
      </c>
      <c r="L5" s="9" t="s">
        <v>643</v>
      </c>
    </row>
    <row r="6" customFormat="false" ht="23.85" hidden="false" customHeight="false" outlineLevel="0" collapsed="false">
      <c r="A6" s="47" t="s">
        <v>569</v>
      </c>
      <c r="B6" s="47" t="s">
        <v>570</v>
      </c>
      <c r="C6" s="5" t="s">
        <v>644</v>
      </c>
      <c r="D6" s="6" t="s">
        <v>645</v>
      </c>
      <c r="E6" s="6" t="s">
        <v>646</v>
      </c>
      <c r="F6" s="6" t="s">
        <v>640</v>
      </c>
      <c r="G6" s="6" t="s">
        <v>647</v>
      </c>
      <c r="H6" s="6" t="s">
        <v>642</v>
      </c>
      <c r="I6" s="26" t="n">
        <v>5</v>
      </c>
      <c r="J6" s="26" t="n">
        <f aca="false">COUNTIFS('Control Library'!$A$5:$A$50,"AI-CTRL-014",'Control Library'!$R$5:$R$50,"Implemented")+COUNTIFS('Control Library'!$A$5:$A$50,"AI-CTRL-031",'Control Library'!$R$5:$R$50,"Implemented")+COUNTIFS('Control Library'!$A$5:$A$50,"AI-CTRL-033",'Control Library'!$R$5:$R$50,"Implemented")+COUNTIFS('Control Library'!$A$5:$A$50,"AI-CTRL-034",'Control Library'!$R$5:$R$50,"Implemented")+COUNTIFS('Control Library'!$A$5:$A$50,"AI-CTRL-040",'Control Library'!$R$5:$R$50,"Implemented")</f>
        <v>0</v>
      </c>
      <c r="K6" s="43" t="str">
        <f aca="false">IF(I6=0,"No wiki control",IF(J6=I6,"Fully covered",IF(J6=0,"Not covered","Partly covered")))</f>
        <v>Not covered</v>
      </c>
      <c r="L6" s="9" t="s">
        <v>643</v>
      </c>
    </row>
    <row r="7" customFormat="false" ht="23.85" hidden="false" customHeight="false" outlineLevel="0" collapsed="false">
      <c r="A7" s="47" t="s">
        <v>569</v>
      </c>
      <c r="B7" s="47" t="s">
        <v>570</v>
      </c>
      <c r="C7" s="5" t="s">
        <v>648</v>
      </c>
      <c r="D7" s="6" t="s">
        <v>649</v>
      </c>
      <c r="E7" s="6" t="s">
        <v>646</v>
      </c>
      <c r="F7" s="6" t="s">
        <v>640</v>
      </c>
      <c r="G7" s="6" t="s">
        <v>647</v>
      </c>
      <c r="H7" s="6" t="s">
        <v>642</v>
      </c>
      <c r="I7" s="26" t="n">
        <v>5</v>
      </c>
      <c r="J7" s="26" t="n">
        <f aca="false">COUNTIFS('Control Library'!$A$5:$A$50,"AI-CTRL-014",'Control Library'!$R$5:$R$50,"Implemented")+COUNTIFS('Control Library'!$A$5:$A$50,"AI-CTRL-031",'Control Library'!$R$5:$R$50,"Implemented")+COUNTIFS('Control Library'!$A$5:$A$50,"AI-CTRL-033",'Control Library'!$R$5:$R$50,"Implemented")+COUNTIFS('Control Library'!$A$5:$A$50,"AI-CTRL-034",'Control Library'!$R$5:$R$50,"Implemented")+COUNTIFS('Control Library'!$A$5:$A$50,"AI-CTRL-040",'Control Library'!$R$5:$R$50,"Implemented")</f>
        <v>0</v>
      </c>
      <c r="K7" s="43" t="str">
        <f aca="false">IF(I7=0,"No wiki control",IF(J7=I7,"Fully covered",IF(J7=0,"Not covered","Partly covered")))</f>
        <v>Not covered</v>
      </c>
      <c r="L7" s="9" t="s">
        <v>643</v>
      </c>
    </row>
    <row r="8" customFormat="false" ht="23.85" hidden="false" customHeight="false" outlineLevel="0" collapsed="false">
      <c r="A8" s="47" t="s">
        <v>569</v>
      </c>
      <c r="B8" s="47" t="s">
        <v>570</v>
      </c>
      <c r="C8" s="5" t="s">
        <v>650</v>
      </c>
      <c r="D8" s="6" t="s">
        <v>651</v>
      </c>
      <c r="E8" s="6" t="s">
        <v>495</v>
      </c>
      <c r="F8" s="6" t="s">
        <v>640</v>
      </c>
      <c r="G8" s="6" t="s">
        <v>652</v>
      </c>
      <c r="H8" s="6" t="s">
        <v>642</v>
      </c>
      <c r="I8" s="26" t="n">
        <v>1</v>
      </c>
      <c r="J8" s="26" t="n">
        <f aca="false">COUNTIFS('Control Library'!$A$5:$A$50,"AI-CTRL-040",'Control Library'!$R$5:$R$50,"Implemented")</f>
        <v>0</v>
      </c>
      <c r="K8" s="43" t="str">
        <f aca="false">IF(I8=0,"No wiki control",IF(J8=I8,"Fully covered",IF(J8=0,"Not covered","Partly covered")))</f>
        <v>Not covered</v>
      </c>
      <c r="L8" s="9" t="s">
        <v>643</v>
      </c>
    </row>
    <row r="9" customFormat="false" ht="23.85" hidden="false" customHeight="false" outlineLevel="0" collapsed="false">
      <c r="A9" s="47" t="s">
        <v>569</v>
      </c>
      <c r="B9" s="47" t="s">
        <v>570</v>
      </c>
      <c r="C9" s="5" t="s">
        <v>653</v>
      </c>
      <c r="D9" s="6" t="s">
        <v>654</v>
      </c>
      <c r="E9" s="6" t="s">
        <v>655</v>
      </c>
      <c r="F9" s="6" t="s">
        <v>640</v>
      </c>
      <c r="G9" s="6" t="s">
        <v>656</v>
      </c>
      <c r="H9" s="6" t="s">
        <v>657</v>
      </c>
      <c r="I9" s="26" t="n">
        <v>4</v>
      </c>
      <c r="J9" s="26" t="n">
        <f aca="false">COUNTIFS('Control Library'!$A$5:$A$50,"AI-CTRL-011",'Control Library'!$R$5:$R$50,"Implemented")+COUNTIFS('Control Library'!$A$5:$A$50,"AI-CTRL-012",'Control Library'!$R$5:$R$50,"Implemented")+COUNTIFS('Control Library'!$A$5:$A$50,"AI-CTRL-037",'Control Library'!$R$5:$R$50,"Implemented")+COUNTIFS('Control Library'!$A$5:$A$50,"AI-CTRL-045",'Control Library'!$R$5:$R$50,"Implemented")</f>
        <v>0</v>
      </c>
      <c r="K9" s="43" t="str">
        <f aca="false">IF(I9=0,"No wiki control",IF(J9=I9,"Fully covered",IF(J9=0,"Not covered","Partly covered")))</f>
        <v>Not covered</v>
      </c>
      <c r="L9" s="9" t="s">
        <v>643</v>
      </c>
    </row>
    <row r="10" customFormat="false" ht="23.85" hidden="false" customHeight="false" outlineLevel="0" collapsed="false">
      <c r="A10" s="47" t="s">
        <v>569</v>
      </c>
      <c r="B10" s="47" t="s">
        <v>570</v>
      </c>
      <c r="C10" s="5" t="s">
        <v>658</v>
      </c>
      <c r="D10" s="6" t="s">
        <v>659</v>
      </c>
      <c r="E10" s="6" t="s">
        <v>660</v>
      </c>
      <c r="F10" s="6" t="s">
        <v>640</v>
      </c>
      <c r="G10" s="6" t="s">
        <v>661</v>
      </c>
      <c r="H10" s="6" t="s">
        <v>642</v>
      </c>
      <c r="I10" s="26" t="n">
        <v>4</v>
      </c>
      <c r="J10" s="26" t="n">
        <f aca="false">COUNTIFS('Control Library'!$A$5:$A$50,"AI-CTRL-033",'Control Library'!$R$5:$R$50,"Implemented")+COUNTIFS('Control Library'!$A$5:$A$50,"AI-CTRL-039",'Control Library'!$R$5:$R$50,"Implemented")+COUNTIFS('Control Library'!$A$5:$A$50,"AI-CTRL-041",'Control Library'!$R$5:$R$50,"Implemented")+COUNTIFS('Control Library'!$A$5:$A$50,"AI-CTRL-045",'Control Library'!$R$5:$R$50,"Implemented")</f>
        <v>0</v>
      </c>
      <c r="K10" s="43" t="str">
        <f aca="false">IF(I10=0,"No wiki control",IF(J10=I10,"Fully covered",IF(J10=0,"Not covered","Partly covered")))</f>
        <v>Not covered</v>
      </c>
      <c r="L10" s="9" t="s">
        <v>643</v>
      </c>
    </row>
    <row r="11" customFormat="false" ht="23.85" hidden="false" customHeight="false" outlineLevel="0" collapsed="false">
      <c r="A11" s="47" t="s">
        <v>569</v>
      </c>
      <c r="B11" s="47" t="s">
        <v>570</v>
      </c>
      <c r="C11" s="5" t="s">
        <v>662</v>
      </c>
      <c r="D11" s="6" t="s">
        <v>663</v>
      </c>
      <c r="E11" s="6" t="s">
        <v>664</v>
      </c>
      <c r="F11" s="6" t="s">
        <v>640</v>
      </c>
      <c r="G11" s="6" t="s">
        <v>665</v>
      </c>
      <c r="H11" s="6" t="s">
        <v>642</v>
      </c>
      <c r="I11" s="26" t="n">
        <v>3</v>
      </c>
      <c r="J11" s="26" t="n">
        <f aca="false">COUNTIFS('Control Library'!$A$5:$A$50,"AI-CTRL-008",'Control Library'!$R$5:$R$50,"Implemented")+COUNTIFS('Control Library'!$A$5:$A$50,"AI-CTRL-038",'Control Library'!$R$5:$R$50,"Implemented")+COUNTIFS('Control Library'!$A$5:$A$50,"AI-CTRL-041",'Control Library'!$R$5:$R$50,"Implemented")</f>
        <v>0</v>
      </c>
      <c r="K11" s="43" t="str">
        <f aca="false">IF(I11=0,"No wiki control",IF(J11=I11,"Fully covered",IF(J11=0,"Not covered","Partly covered")))</f>
        <v>Not covered</v>
      </c>
      <c r="L11" s="9" t="s">
        <v>643</v>
      </c>
    </row>
    <row r="12" customFormat="false" ht="23.85" hidden="false" customHeight="false" outlineLevel="0" collapsed="false">
      <c r="A12" s="47" t="s">
        <v>569</v>
      </c>
      <c r="B12" s="47" t="s">
        <v>570</v>
      </c>
      <c r="C12" s="5" t="s">
        <v>666</v>
      </c>
      <c r="D12" s="6" t="s">
        <v>667</v>
      </c>
      <c r="E12" s="6" t="s">
        <v>655</v>
      </c>
      <c r="F12" s="6" t="s">
        <v>640</v>
      </c>
      <c r="G12" s="6" t="s">
        <v>656</v>
      </c>
      <c r="H12" s="6" t="s">
        <v>657</v>
      </c>
      <c r="I12" s="26" t="n">
        <v>4</v>
      </c>
      <c r="J12" s="26" t="n">
        <f aca="false">COUNTIFS('Control Library'!$A$5:$A$50,"AI-CTRL-011",'Control Library'!$R$5:$R$50,"Implemented")+COUNTIFS('Control Library'!$A$5:$A$50,"AI-CTRL-012",'Control Library'!$R$5:$R$50,"Implemented")+COUNTIFS('Control Library'!$A$5:$A$50,"AI-CTRL-037",'Control Library'!$R$5:$R$50,"Implemented")+COUNTIFS('Control Library'!$A$5:$A$50,"AI-CTRL-045",'Control Library'!$R$5:$R$50,"Implemented")</f>
        <v>0</v>
      </c>
      <c r="K12" s="43" t="str">
        <f aca="false">IF(I12=0,"No wiki control",IF(J12=I12,"Fully covered",IF(J12=0,"Not covered","Partly covered")))</f>
        <v>Not covered</v>
      </c>
      <c r="L12" s="9" t="s">
        <v>643</v>
      </c>
    </row>
    <row r="13" customFormat="false" ht="23.85" hidden="false" customHeight="false" outlineLevel="0" collapsed="false">
      <c r="A13" s="47" t="s">
        <v>569</v>
      </c>
      <c r="B13" s="47" t="s">
        <v>570</v>
      </c>
      <c r="C13" s="5" t="s">
        <v>668</v>
      </c>
      <c r="D13" s="6" t="s">
        <v>669</v>
      </c>
      <c r="E13" s="6" t="s">
        <v>670</v>
      </c>
      <c r="F13" s="6" t="s">
        <v>640</v>
      </c>
      <c r="G13" s="6" t="s">
        <v>671</v>
      </c>
      <c r="H13" s="6" t="s">
        <v>642</v>
      </c>
      <c r="I13" s="26" t="n">
        <v>3</v>
      </c>
      <c r="J13" s="26" t="n">
        <f aca="false">COUNTIFS('Control Library'!$A$5:$A$50,"AI-CTRL-017",'Control Library'!$R$5:$R$50,"Implemented")+COUNTIFS('Control Library'!$A$5:$A$50,"AI-CTRL-019",'Control Library'!$R$5:$R$50,"Implemented")+COUNTIFS('Control Library'!$A$5:$A$50,"AI-CTRL-034",'Control Library'!$R$5:$R$50,"Implemented")</f>
        <v>0</v>
      </c>
      <c r="K13" s="43" t="str">
        <f aca="false">IF(I13=0,"No wiki control",IF(J13=I13,"Fully covered",IF(J13=0,"Not covered","Partly covered")))</f>
        <v>Not covered</v>
      </c>
      <c r="L13" s="9" t="s">
        <v>643</v>
      </c>
    </row>
    <row r="14" customFormat="false" ht="23.85" hidden="false" customHeight="false" outlineLevel="0" collapsed="false">
      <c r="A14" s="47" t="s">
        <v>569</v>
      </c>
      <c r="B14" s="47" t="s">
        <v>570</v>
      </c>
      <c r="C14" s="5" t="s">
        <v>672</v>
      </c>
      <c r="D14" s="6" t="s">
        <v>673</v>
      </c>
      <c r="E14" s="6" t="s">
        <v>674</v>
      </c>
      <c r="F14" s="6" t="s">
        <v>640</v>
      </c>
      <c r="G14" s="6" t="s">
        <v>675</v>
      </c>
      <c r="H14" s="6" t="s">
        <v>642</v>
      </c>
      <c r="I14" s="26" t="n">
        <v>3</v>
      </c>
      <c r="J14" s="26" t="n">
        <f aca="false">COUNTIFS('Control Library'!$A$5:$A$50,"AI-CTRL-034",'Control Library'!$R$5:$R$50,"Implemented")+COUNTIFS('Control Library'!$A$5:$A$50,"AI-CTRL-035",'Control Library'!$R$5:$R$50,"Implemented")+COUNTIFS('Control Library'!$A$5:$A$50,"AI-CTRL-039",'Control Library'!$R$5:$R$50,"Implemented")</f>
        <v>0</v>
      </c>
      <c r="K14" s="43" t="str">
        <f aca="false">IF(I14=0,"No wiki control",IF(J14=I14,"Fully covered",IF(J14=0,"Not covered","Partly covered")))</f>
        <v>Not covered</v>
      </c>
      <c r="L14" s="9" t="s">
        <v>643</v>
      </c>
    </row>
    <row r="15" customFormat="false" ht="23.85" hidden="false" customHeight="false" outlineLevel="0" collapsed="false">
      <c r="A15" s="47" t="s">
        <v>569</v>
      </c>
      <c r="B15" s="47" t="s">
        <v>570</v>
      </c>
      <c r="C15" s="5" t="s">
        <v>676</v>
      </c>
      <c r="D15" s="6" t="s">
        <v>677</v>
      </c>
      <c r="E15" s="6" t="s">
        <v>678</v>
      </c>
      <c r="F15" s="6" t="s">
        <v>640</v>
      </c>
      <c r="G15" s="6" t="s">
        <v>679</v>
      </c>
      <c r="H15" s="6" t="s">
        <v>642</v>
      </c>
      <c r="I15" s="26" t="n">
        <v>4</v>
      </c>
      <c r="J15" s="26" t="n">
        <f aca="false">COUNTIFS('Control Library'!$A$5:$A$50,"AI-CTRL-006",'Control Library'!$R$5:$R$50,"Implemented")+COUNTIFS('Control Library'!$A$5:$A$50,"AI-CTRL-015",'Control Library'!$R$5:$R$50,"Implemented")+COUNTIFS('Control Library'!$A$5:$A$50,"AI-CTRL-025",'Control Library'!$R$5:$R$50,"Implemented")+COUNTIFS('Control Library'!$A$5:$A$50,"AI-CTRL-027",'Control Library'!$R$5:$R$50,"Implemented")</f>
        <v>0</v>
      </c>
      <c r="K15" s="43" t="str">
        <f aca="false">IF(I15=0,"No wiki control",IF(J15=I15,"Fully covered",IF(J15=0,"Not covered","Partly covered")))</f>
        <v>Not covered</v>
      </c>
      <c r="L15" s="9" t="s">
        <v>643</v>
      </c>
    </row>
    <row r="16" customFormat="false" ht="57.45" hidden="false" customHeight="false" outlineLevel="0" collapsed="false">
      <c r="A16" s="47" t="s">
        <v>569</v>
      </c>
      <c r="B16" s="47" t="s">
        <v>570</v>
      </c>
      <c r="C16" s="5" t="s">
        <v>680</v>
      </c>
      <c r="D16" s="6" t="s">
        <v>681</v>
      </c>
      <c r="E16" s="6" t="s">
        <v>682</v>
      </c>
      <c r="F16" s="6" t="s">
        <v>640</v>
      </c>
      <c r="G16" s="6" t="s">
        <v>683</v>
      </c>
      <c r="H16" s="6" t="s">
        <v>657</v>
      </c>
      <c r="I16" s="26" t="n">
        <v>13</v>
      </c>
      <c r="J16" s="26" t="n">
        <f aca="false">COUNTIFS('Control Library'!$A$5:$A$50,"AI-CTRL-002",'Control Library'!$R$5:$R$50,"Implemented")+COUNTIFS('Control Library'!$A$5:$A$50,"AI-CTRL-003",'Control Library'!$R$5:$R$50,"Implemented")+COUNTIFS('Control Library'!$A$5:$A$50,"AI-CTRL-004",'Control Library'!$R$5:$R$50,"Implemented")+COUNTIFS('Control Library'!$A$5:$A$50,"AI-CTRL-007",'Control Library'!$R$5:$R$50,"Implemented")+COUNTIFS('Control Library'!$A$5:$A$50,"AI-CTRL-010",'Control Library'!$R$5:$R$50,"Implemented")+COUNTIFS('Control Library'!$A$5:$A$50,"AI-CTRL-012",'Control Library'!$R$5:$R$50,"Implemented")+COUNTIFS('Control Library'!$A$5:$A$50,"AI-CTRL-013",'Control Library'!$R$5:$R$50,"Implemented")+COUNTIFS('Control Library'!$A$5:$A$50,"AI-CTRL-014",'Control Library'!$R$5:$R$50,"Implemented")+COUNTIFS('Control Library'!$A$5:$A$50,"AI-CTRL-017",'Control Library'!$R$5:$R$50,"Implemented")+COUNTIFS('Control Library'!$A$5:$A$50,"AI-CTRL-021",'Control Library'!$R$5:$R$50,"Implemented")+COUNTIFS('Control Library'!$A$5:$A$50,"AI-CTRL-032",'Control Library'!$R$5:$R$50,"Implemented")+COUNTIFS('Control Library'!$A$5:$A$50,"AI-CTRL-042",'Control Library'!$R$5:$R$50,"Implemented")+COUNTIFS('Control Library'!$A$5:$A$50,"AI-CTRL-043",'Control Library'!$R$5:$R$50,"Implemented")</f>
        <v>0</v>
      </c>
      <c r="K16" s="43" t="str">
        <f aca="false">IF(I16=0,"No wiki control",IF(J16=I16,"Fully covered",IF(J16=0,"Not covered","Partly covered")))</f>
        <v>Not covered</v>
      </c>
      <c r="L16" s="9" t="s">
        <v>643</v>
      </c>
    </row>
    <row r="17" customFormat="false" ht="35.05" hidden="false" customHeight="false" outlineLevel="0" collapsed="false">
      <c r="A17" s="47" t="s">
        <v>569</v>
      </c>
      <c r="B17" s="47" t="s">
        <v>570</v>
      </c>
      <c r="C17" s="5" t="s">
        <v>684</v>
      </c>
      <c r="D17" s="6" t="s">
        <v>685</v>
      </c>
      <c r="E17" s="6" t="s">
        <v>686</v>
      </c>
      <c r="F17" s="6" t="s">
        <v>640</v>
      </c>
      <c r="G17" s="6" t="s">
        <v>687</v>
      </c>
      <c r="H17" s="6" t="s">
        <v>688</v>
      </c>
      <c r="I17" s="26" t="n">
        <v>8</v>
      </c>
      <c r="J17" s="26" t="n">
        <f aca="false">COUNTIFS('Control Library'!$A$5:$A$50,"AI-CTRL-012",'Control Library'!$R$5:$R$50,"Implemented")+COUNTIFS('Control Library'!$A$5:$A$50,"AI-CTRL-013",'Control Library'!$R$5:$R$50,"Implemented")+COUNTIFS('Control Library'!$A$5:$A$50,"AI-CTRL-023",'Control Library'!$R$5:$R$50,"Implemented")+COUNTIFS('Control Library'!$A$5:$A$50,"AI-CTRL-037",'Control Library'!$R$5:$R$50,"Implemented")+COUNTIFS('Control Library'!$A$5:$A$50,"AI-CTRL-038",'Control Library'!$R$5:$R$50,"Implemented")+COUNTIFS('Control Library'!$A$5:$A$50,"AI-CTRL-042",'Control Library'!$R$5:$R$50,"Implemented")+COUNTIFS('Control Library'!$A$5:$A$50,"AI-CTRL-044",'Control Library'!$R$5:$R$50,"Implemented")+COUNTIFS('Control Library'!$A$5:$A$50,"AI-CTRL-045",'Control Library'!$R$5:$R$50,"Implemented")</f>
        <v>0</v>
      </c>
      <c r="K17" s="43" t="str">
        <f aca="false">IF(I17=0,"No wiki control",IF(J17=I17,"Fully covered",IF(J17=0,"Not covered","Partly covered")))</f>
        <v>Not covered</v>
      </c>
      <c r="L17" s="9" t="s">
        <v>643</v>
      </c>
    </row>
    <row r="18" customFormat="false" ht="23.85" hidden="false" customHeight="false" outlineLevel="0" collapsed="false">
      <c r="A18" s="47" t="s">
        <v>569</v>
      </c>
      <c r="B18" s="47" t="s">
        <v>570</v>
      </c>
      <c r="C18" s="5" t="s">
        <v>689</v>
      </c>
      <c r="D18" s="6" t="s">
        <v>690</v>
      </c>
      <c r="E18" s="6" t="s">
        <v>691</v>
      </c>
      <c r="F18" s="6" t="s">
        <v>640</v>
      </c>
      <c r="G18" s="6" t="s">
        <v>553</v>
      </c>
      <c r="H18" s="6" t="s">
        <v>642</v>
      </c>
      <c r="I18" s="26" t="n">
        <v>5</v>
      </c>
      <c r="J18" s="26" t="n">
        <f aca="false">COUNTIFS('Control Library'!$A$5:$A$50,"AI-CTRL-002",'Control Library'!$R$5:$R$50,"Implemented")+COUNTIFS('Control Library'!$A$5:$A$50,"AI-CTRL-003",'Control Library'!$R$5:$R$50,"Implemented")+COUNTIFS('Control Library'!$A$5:$A$50,"AI-CTRL-012",'Control Library'!$R$5:$R$50,"Implemented")+COUNTIFS('Control Library'!$A$5:$A$50,"AI-CTRL-013",'Control Library'!$R$5:$R$50,"Implemented")+COUNTIFS('Control Library'!$A$5:$A$50,"AI-CTRL-046",'Control Library'!$R$5:$R$50,"Implemented")</f>
        <v>0</v>
      </c>
      <c r="K18" s="43" t="str">
        <f aca="false">IF(I18=0,"No wiki control",IF(J18=I18,"Fully covered",IF(J18=0,"Not covered","Partly covered")))</f>
        <v>Not covered</v>
      </c>
      <c r="L18" s="9" t="s">
        <v>643</v>
      </c>
    </row>
    <row r="19" customFormat="false" ht="23.85" hidden="false" customHeight="false" outlineLevel="0" collapsed="false">
      <c r="A19" s="47" t="s">
        <v>569</v>
      </c>
      <c r="B19" s="47" t="s">
        <v>570</v>
      </c>
      <c r="C19" s="5" t="s">
        <v>692</v>
      </c>
      <c r="D19" s="6" t="s">
        <v>693</v>
      </c>
      <c r="E19" s="6" t="s">
        <v>694</v>
      </c>
      <c r="F19" s="6" t="s">
        <v>640</v>
      </c>
      <c r="G19" s="6" t="s">
        <v>319</v>
      </c>
      <c r="H19" s="6" t="s">
        <v>657</v>
      </c>
      <c r="I19" s="26" t="n">
        <v>5</v>
      </c>
      <c r="J19" s="26" t="n">
        <f aca="false">COUNTIFS('Control Library'!$A$5:$A$50,"AI-CTRL-005",'Control Library'!$R$5:$R$50,"Implemented")+COUNTIFS('Control Library'!$A$5:$A$50,"AI-CTRL-016",'Control Library'!$R$5:$R$50,"Implemented")+COUNTIFS('Control Library'!$A$5:$A$50,"AI-CTRL-017",'Control Library'!$R$5:$R$50,"Implemented")+COUNTIFS('Control Library'!$A$5:$A$50,"AI-CTRL-018",'Control Library'!$R$5:$R$50,"Implemented")+COUNTIFS('Control Library'!$A$5:$A$50,"AI-CTRL-020",'Control Library'!$R$5:$R$50,"Implemented")</f>
        <v>0</v>
      </c>
      <c r="K19" s="43" t="str">
        <f aca="false">IF(I19=0,"No wiki control",IF(J19=I19,"Fully covered",IF(J19=0,"Not covered","Partly covered")))</f>
        <v>Not covered</v>
      </c>
      <c r="L19" s="9" t="s">
        <v>643</v>
      </c>
    </row>
    <row r="20" customFormat="false" ht="46.25" hidden="false" customHeight="false" outlineLevel="0" collapsed="false">
      <c r="A20" s="47" t="s">
        <v>569</v>
      </c>
      <c r="B20" s="47" t="s">
        <v>570</v>
      </c>
      <c r="C20" s="5" t="s">
        <v>695</v>
      </c>
      <c r="D20" s="6" t="s">
        <v>696</v>
      </c>
      <c r="E20" s="6" t="s">
        <v>697</v>
      </c>
      <c r="F20" s="6" t="s">
        <v>640</v>
      </c>
      <c r="G20" s="6" t="s">
        <v>399</v>
      </c>
      <c r="H20" s="6" t="s">
        <v>657</v>
      </c>
      <c r="I20" s="26" t="n">
        <v>10</v>
      </c>
      <c r="J20" s="26" t="n">
        <f aca="false">COUNTIFS('Control Library'!$A$5:$A$50,"AI-CTRL-014",'Control Library'!$R$5:$R$50,"Implemented")+COUNTIFS('Control Library'!$A$5:$A$50,"AI-CTRL-016",'Control Library'!$R$5:$R$50,"Implemented")+COUNTIFS('Control Library'!$A$5:$A$50,"AI-CTRL-019",'Control Library'!$R$5:$R$50,"Implemented")+COUNTIFS('Control Library'!$A$5:$A$50,"AI-CTRL-024",'Control Library'!$R$5:$R$50,"Implemented")+COUNTIFS('Control Library'!$A$5:$A$50,"AI-CTRL-028",'Control Library'!$R$5:$R$50,"Implemented")+COUNTIFS('Control Library'!$A$5:$A$50,"AI-CTRL-029",'Control Library'!$R$5:$R$50,"Implemented")+COUNTIFS('Control Library'!$A$5:$A$50,"AI-CTRL-030",'Control Library'!$R$5:$R$50,"Implemented")+COUNTIFS('Control Library'!$A$5:$A$50,"AI-CTRL-031",'Control Library'!$R$5:$R$50,"Implemented")+COUNTIFS('Control Library'!$A$5:$A$50,"AI-CTRL-032",'Control Library'!$R$5:$R$50,"Implemented")+COUNTIFS('Control Library'!$A$5:$A$50,"AI-CTRL-033",'Control Library'!$R$5:$R$50,"Implemented")</f>
        <v>0</v>
      </c>
      <c r="K20" s="43" t="str">
        <f aca="false">IF(I20=0,"No wiki control",IF(J20=I20,"Fully covered",IF(J20=0,"Not covered","Partly covered")))</f>
        <v>Not covered</v>
      </c>
      <c r="L20" s="9" t="s">
        <v>643</v>
      </c>
    </row>
    <row r="21" customFormat="false" ht="46.25" hidden="false" customHeight="false" outlineLevel="0" collapsed="false">
      <c r="A21" s="47" t="s">
        <v>569</v>
      </c>
      <c r="B21" s="47" t="s">
        <v>570</v>
      </c>
      <c r="C21" s="5" t="s">
        <v>698</v>
      </c>
      <c r="D21" s="6" t="s">
        <v>699</v>
      </c>
      <c r="E21" s="6" t="s">
        <v>697</v>
      </c>
      <c r="F21" s="6" t="s">
        <v>640</v>
      </c>
      <c r="G21" s="6" t="s">
        <v>399</v>
      </c>
      <c r="H21" s="6" t="s">
        <v>657</v>
      </c>
      <c r="I21" s="26" t="n">
        <v>10</v>
      </c>
      <c r="J21" s="26" t="n">
        <f aca="false">COUNTIFS('Control Library'!$A$5:$A$50,"AI-CTRL-014",'Control Library'!$R$5:$R$50,"Implemented")+COUNTIFS('Control Library'!$A$5:$A$50,"AI-CTRL-016",'Control Library'!$R$5:$R$50,"Implemented")+COUNTIFS('Control Library'!$A$5:$A$50,"AI-CTRL-019",'Control Library'!$R$5:$R$50,"Implemented")+COUNTIFS('Control Library'!$A$5:$A$50,"AI-CTRL-024",'Control Library'!$R$5:$R$50,"Implemented")+COUNTIFS('Control Library'!$A$5:$A$50,"AI-CTRL-028",'Control Library'!$R$5:$R$50,"Implemented")+COUNTIFS('Control Library'!$A$5:$A$50,"AI-CTRL-029",'Control Library'!$R$5:$R$50,"Implemented")+COUNTIFS('Control Library'!$A$5:$A$50,"AI-CTRL-030",'Control Library'!$R$5:$R$50,"Implemented")+COUNTIFS('Control Library'!$A$5:$A$50,"AI-CTRL-031",'Control Library'!$R$5:$R$50,"Implemented")+COUNTIFS('Control Library'!$A$5:$A$50,"AI-CTRL-032",'Control Library'!$R$5:$R$50,"Implemented")+COUNTIFS('Control Library'!$A$5:$A$50,"AI-CTRL-033",'Control Library'!$R$5:$R$50,"Implemented")</f>
        <v>0</v>
      </c>
      <c r="K21" s="43" t="str">
        <f aca="false">IF(I21=0,"No wiki control",IF(J21=I21,"Fully covered",IF(J21=0,"Not covered","Partly covered")))</f>
        <v>Not covered</v>
      </c>
      <c r="L21" s="9" t="s">
        <v>643</v>
      </c>
    </row>
    <row r="22" customFormat="false" ht="35.05" hidden="false" customHeight="false" outlineLevel="0" collapsed="false">
      <c r="A22" s="47" t="s">
        <v>569</v>
      </c>
      <c r="B22" s="47" t="s">
        <v>570</v>
      </c>
      <c r="C22" s="5" t="s">
        <v>700</v>
      </c>
      <c r="D22" s="6" t="s">
        <v>701</v>
      </c>
      <c r="E22" s="6" t="s">
        <v>702</v>
      </c>
      <c r="F22" s="6" t="s">
        <v>640</v>
      </c>
      <c r="G22" s="6" t="s">
        <v>703</v>
      </c>
      <c r="H22" s="6" t="s">
        <v>642</v>
      </c>
      <c r="I22" s="26" t="n">
        <v>7</v>
      </c>
      <c r="J22" s="26" t="n">
        <f aca="false">COUNTIFS('Control Library'!$A$5:$A$50,"AI-CTRL-005",'Control Library'!$R$5:$R$50,"Implemented")+COUNTIFS('Control Library'!$A$5:$A$50,"AI-CTRL-019",'Control Library'!$R$5:$R$50,"Implemented")+COUNTIFS('Control Library'!$A$5:$A$50,"AI-CTRL-020",'Control Library'!$R$5:$R$50,"Implemented")+COUNTIFS('Control Library'!$A$5:$A$50,"AI-CTRL-021",'Control Library'!$R$5:$R$50,"Implemented")+COUNTIFS('Control Library'!$A$5:$A$50,"AI-CTRL-026",'Control Library'!$R$5:$R$50,"Implemented")+COUNTIFS('Control Library'!$A$5:$A$50,"AI-CTRL-033",'Control Library'!$R$5:$R$50,"Implemented")+COUNTIFS('Control Library'!$A$5:$A$50,"AI-CTRL-034",'Control Library'!$R$5:$R$50,"Implemented")</f>
        <v>0</v>
      </c>
      <c r="K22" s="43" t="str">
        <f aca="false">IF(I22=0,"No wiki control",IF(J22=I22,"Fully covered",IF(J22=0,"Not covered","Partly covered")))</f>
        <v>Not covered</v>
      </c>
      <c r="L22" s="9" t="s">
        <v>643</v>
      </c>
    </row>
    <row r="23" customFormat="false" ht="57.45" hidden="false" customHeight="false" outlineLevel="0" collapsed="false">
      <c r="A23" s="47" t="s">
        <v>569</v>
      </c>
      <c r="B23" s="47" t="s">
        <v>570</v>
      </c>
      <c r="C23" s="5" t="s">
        <v>704</v>
      </c>
      <c r="D23" s="6" t="s">
        <v>705</v>
      </c>
      <c r="E23" s="6" t="s">
        <v>706</v>
      </c>
      <c r="F23" s="6" t="s">
        <v>640</v>
      </c>
      <c r="G23" s="6" t="s">
        <v>707</v>
      </c>
      <c r="H23" s="6" t="s">
        <v>657</v>
      </c>
      <c r="I23" s="26" t="n">
        <v>12</v>
      </c>
      <c r="J23" s="26" t="n">
        <f aca="false">COUNTIFS('Control Library'!$A$5:$A$50,"AI-CTRL-006",'Control Library'!$R$5:$R$50,"Implemented")+COUNTIFS('Control Library'!$A$5:$A$50,"AI-CTRL-015",'Control Library'!$R$5:$R$50,"Implemented")+COUNTIFS('Control Library'!$A$5:$A$50,"AI-CTRL-016",'Control Library'!$R$5:$R$50,"Implemented")+COUNTIFS('Control Library'!$A$5:$A$50,"AI-CTRL-022",'Control Library'!$R$5:$R$50,"Implemented")+COUNTIFS('Control Library'!$A$5:$A$50,"AI-CTRL-023",'Control Library'!$R$5:$R$50,"Implemented")+COUNTIFS('Control Library'!$A$5:$A$50,"AI-CTRL-024",'Control Library'!$R$5:$R$50,"Implemented")+COUNTIFS('Control Library'!$A$5:$A$50,"AI-CTRL-025",'Control Library'!$R$5:$R$50,"Implemented")+COUNTIFS('Control Library'!$A$5:$A$50,"AI-CTRL-026",'Control Library'!$R$5:$R$50,"Implemented")+COUNTIFS('Control Library'!$A$5:$A$50,"AI-CTRL-027",'Control Library'!$R$5:$R$50,"Implemented")+COUNTIFS('Control Library'!$A$5:$A$50,"AI-CTRL-033",'Control Library'!$R$5:$R$50,"Implemented")+COUNTIFS('Control Library'!$A$5:$A$50,"AI-CTRL-034",'Control Library'!$R$5:$R$50,"Implemented")+COUNTIFS('Control Library'!$A$5:$A$50,"AI-CTRL-045",'Control Library'!$R$5:$R$50,"Implemented")</f>
        <v>0</v>
      </c>
      <c r="K23" s="43" t="str">
        <f aca="false">IF(I23=0,"No wiki control",IF(J23=I23,"Fully covered",IF(J23=0,"Not covered","Partly covered")))</f>
        <v>Not covered</v>
      </c>
      <c r="L23" s="9" t="s">
        <v>643</v>
      </c>
    </row>
    <row r="24" customFormat="false" ht="23.85" hidden="false" customHeight="false" outlineLevel="0" collapsed="false">
      <c r="A24" s="47" t="s">
        <v>569</v>
      </c>
      <c r="B24" s="47" t="s">
        <v>570</v>
      </c>
      <c r="C24" s="5" t="s">
        <v>708</v>
      </c>
      <c r="D24" s="6" t="s">
        <v>709</v>
      </c>
      <c r="E24" s="6" t="s">
        <v>710</v>
      </c>
      <c r="F24" s="6" t="s">
        <v>640</v>
      </c>
      <c r="G24" s="6" t="s">
        <v>711</v>
      </c>
      <c r="H24" s="6" t="s">
        <v>642</v>
      </c>
      <c r="I24" s="26" t="n">
        <v>4</v>
      </c>
      <c r="J24" s="26" t="n">
        <f aca="false">COUNTIFS('Control Library'!$A$5:$A$50,"AI-CTRL-005",'Control Library'!$R$5:$R$50,"Implemented")+COUNTIFS('Control Library'!$A$5:$A$50,"AI-CTRL-020",'Control Library'!$R$5:$R$50,"Implemented")+COUNTIFS('Control Library'!$A$5:$A$50,"AI-CTRL-022",'Control Library'!$R$5:$R$50,"Implemented")+COUNTIFS('Control Library'!$A$5:$A$50,"AI-CTRL-024",'Control Library'!$R$5:$R$50,"Implemented")</f>
        <v>0</v>
      </c>
      <c r="K24" s="43" t="str">
        <f aca="false">IF(I24=0,"No wiki control",IF(J24=I24,"Fully covered",IF(J24=0,"Not covered","Partly covered")))</f>
        <v>Not covered</v>
      </c>
      <c r="L24" s="9" t="s">
        <v>643</v>
      </c>
    </row>
    <row r="25" customFormat="false" ht="46.25" hidden="false" customHeight="false" outlineLevel="0" collapsed="false">
      <c r="A25" s="47" t="s">
        <v>569</v>
      </c>
      <c r="B25" s="47" t="s">
        <v>570</v>
      </c>
      <c r="C25" s="5" t="s">
        <v>712</v>
      </c>
      <c r="D25" s="6" t="s">
        <v>713</v>
      </c>
      <c r="E25" s="6" t="s">
        <v>697</v>
      </c>
      <c r="F25" s="6" t="s">
        <v>640</v>
      </c>
      <c r="G25" s="6" t="s">
        <v>714</v>
      </c>
      <c r="H25" s="6" t="s">
        <v>642</v>
      </c>
      <c r="I25" s="26" t="n">
        <v>10</v>
      </c>
      <c r="J25" s="26" t="n">
        <f aca="false">COUNTIFS('Control Library'!$A$5:$A$50,"AI-CTRL-014",'Control Library'!$R$5:$R$50,"Implemented")+COUNTIFS('Control Library'!$A$5:$A$50,"AI-CTRL-016",'Control Library'!$R$5:$R$50,"Implemented")+COUNTIFS('Control Library'!$A$5:$A$50,"AI-CTRL-019",'Control Library'!$R$5:$R$50,"Implemented")+COUNTIFS('Control Library'!$A$5:$A$50,"AI-CTRL-024",'Control Library'!$R$5:$R$50,"Implemented")+COUNTIFS('Control Library'!$A$5:$A$50,"AI-CTRL-028",'Control Library'!$R$5:$R$50,"Implemented")+COUNTIFS('Control Library'!$A$5:$A$50,"AI-CTRL-029",'Control Library'!$R$5:$R$50,"Implemented")+COUNTIFS('Control Library'!$A$5:$A$50,"AI-CTRL-030",'Control Library'!$R$5:$R$50,"Implemented")+COUNTIFS('Control Library'!$A$5:$A$50,"AI-CTRL-031",'Control Library'!$R$5:$R$50,"Implemented")+COUNTIFS('Control Library'!$A$5:$A$50,"AI-CTRL-032",'Control Library'!$R$5:$R$50,"Implemented")+COUNTIFS('Control Library'!$A$5:$A$50,"AI-CTRL-033",'Control Library'!$R$5:$R$50,"Implemented")</f>
        <v>0</v>
      </c>
      <c r="K25" s="43" t="str">
        <f aca="false">IF(I25=0,"No wiki control",IF(J25=I25,"Fully covered",IF(J25=0,"Not covered","Partly covered")))</f>
        <v>Not covered</v>
      </c>
      <c r="L25" s="9" t="s">
        <v>643</v>
      </c>
    </row>
    <row r="26" customFormat="false" ht="23.85" hidden="false" customHeight="false" outlineLevel="0" collapsed="false">
      <c r="A26" s="47" t="s">
        <v>569</v>
      </c>
      <c r="B26" s="47" t="s">
        <v>570</v>
      </c>
      <c r="C26" s="5" t="s">
        <v>715</v>
      </c>
      <c r="D26" s="6" t="s">
        <v>716</v>
      </c>
      <c r="E26" s="6" t="s">
        <v>717</v>
      </c>
      <c r="F26" s="6" t="s">
        <v>640</v>
      </c>
      <c r="G26" s="6" t="s">
        <v>718</v>
      </c>
      <c r="H26" s="6" t="s">
        <v>642</v>
      </c>
      <c r="I26" s="26" t="n">
        <v>3</v>
      </c>
      <c r="J26" s="26" t="n">
        <f aca="false">COUNTIFS('Control Library'!$A$5:$A$50,"AI-CTRL-025",'Control Library'!$R$5:$R$50,"Implemented")+COUNTIFS('Control Library'!$A$5:$A$50,"AI-CTRL-026",'Control Library'!$R$5:$R$50,"Implemented")+COUNTIFS('Control Library'!$A$5:$A$50,"AI-CTRL-027",'Control Library'!$R$5:$R$50,"Implemented")</f>
        <v>0</v>
      </c>
      <c r="K26" s="43" t="str">
        <f aca="false">IF(I26=0,"No wiki control",IF(J26=I26,"Fully covered",IF(J26=0,"Not covered","Partly covered")))</f>
        <v>Not covered</v>
      </c>
      <c r="L26" s="9" t="s">
        <v>643</v>
      </c>
    </row>
    <row r="27" customFormat="false" ht="23.85" hidden="false" customHeight="false" outlineLevel="0" collapsed="false">
      <c r="A27" s="47" t="s">
        <v>569</v>
      </c>
      <c r="B27" s="47" t="s">
        <v>570</v>
      </c>
      <c r="C27" s="5" t="s">
        <v>719</v>
      </c>
      <c r="D27" s="6" t="s">
        <v>720</v>
      </c>
      <c r="E27" s="6" t="s">
        <v>721</v>
      </c>
      <c r="F27" s="6" t="s">
        <v>640</v>
      </c>
      <c r="G27" s="6" t="s">
        <v>722</v>
      </c>
      <c r="H27" s="6" t="s">
        <v>642</v>
      </c>
      <c r="I27" s="26" t="n">
        <v>4</v>
      </c>
      <c r="J27" s="26" t="n">
        <f aca="false">COUNTIFS('Control Library'!$A$5:$A$50,"AI-CTRL-004",'Control Library'!$R$5:$R$50,"Implemented")+COUNTIFS('Control Library'!$A$5:$A$50,"AI-CTRL-015",'Control Library'!$R$5:$R$50,"Implemented")+COUNTIFS('Control Library'!$A$5:$A$50,"AI-CTRL-016",'Control Library'!$R$5:$R$50,"Implemented")+COUNTIFS('Control Library'!$A$5:$A$50,"AI-CTRL-027",'Control Library'!$R$5:$R$50,"Implemented")</f>
        <v>0</v>
      </c>
      <c r="K27" s="43" t="str">
        <f aca="false">IF(I27=0,"No wiki control",IF(J27=I27,"Fully covered",IF(J27=0,"Not covered","Partly covered")))</f>
        <v>Not covered</v>
      </c>
      <c r="L27" s="9" t="s">
        <v>643</v>
      </c>
    </row>
    <row r="28" customFormat="false" ht="23.85" hidden="false" customHeight="false" outlineLevel="0" collapsed="false">
      <c r="A28" s="47" t="s">
        <v>569</v>
      </c>
      <c r="B28" s="47" t="s">
        <v>570</v>
      </c>
      <c r="C28" s="5" t="s">
        <v>723</v>
      </c>
      <c r="D28" s="6" t="s">
        <v>724</v>
      </c>
      <c r="E28" s="6" t="s">
        <v>725</v>
      </c>
      <c r="F28" s="6" t="s">
        <v>640</v>
      </c>
      <c r="G28" s="6" t="s">
        <v>726</v>
      </c>
      <c r="H28" s="6" t="s">
        <v>642</v>
      </c>
      <c r="I28" s="26" t="n">
        <v>2</v>
      </c>
      <c r="J28" s="26" t="n">
        <f aca="false">COUNTIFS('Control Library'!$A$5:$A$50,"AI-CTRL-024",'Control Library'!$R$5:$R$50,"Implemented")+COUNTIFS('Control Library'!$A$5:$A$50,"AI-CTRL-031",'Control Library'!$R$5:$R$50,"Implemented")</f>
        <v>0</v>
      </c>
      <c r="K28" s="43" t="str">
        <f aca="false">IF(I28=0,"No wiki control",IF(J28=I28,"Fully covered",IF(J28=0,"Not covered","Partly covered")))</f>
        <v>Not covered</v>
      </c>
      <c r="L28" s="9" t="s">
        <v>643</v>
      </c>
    </row>
    <row r="29" customFormat="false" ht="23.85" hidden="false" customHeight="false" outlineLevel="0" collapsed="false">
      <c r="A29" s="47" t="s">
        <v>571</v>
      </c>
      <c r="B29" s="47" t="s">
        <v>570</v>
      </c>
      <c r="C29" s="5" t="s">
        <v>727</v>
      </c>
      <c r="D29" s="6" t="s">
        <v>728</v>
      </c>
      <c r="E29" s="6" t="s">
        <v>729</v>
      </c>
      <c r="F29" s="6" t="s">
        <v>730</v>
      </c>
      <c r="G29" s="6" t="s">
        <v>731</v>
      </c>
      <c r="H29" s="6"/>
      <c r="I29" s="26" t="n">
        <v>3</v>
      </c>
      <c r="J29" s="26" t="n">
        <f aca="false">COUNTIFS('Control Library'!$A$5:$A$50,"AI-CTRL-002",'Control Library'!$R$5:$R$50,"Implemented")+COUNTIFS('Control Library'!$A$5:$A$50,"AI-CTRL-003",'Control Library'!$R$5:$R$50,"Implemented")+COUNTIFS('Control Library'!$A$5:$A$50,"AI-CTRL-017",'Control Library'!$R$5:$R$50,"Implemented")</f>
        <v>0</v>
      </c>
      <c r="K29" s="43" t="str">
        <f aca="false">IF(I29=0,"No wiki control",IF(J29=I29,"Fully covered",IF(J29=0,"Not covered","Partly covered")))</f>
        <v>Not covered</v>
      </c>
      <c r="L29" s="9" t="s">
        <v>643</v>
      </c>
    </row>
    <row r="30" customFormat="false" ht="23.85" hidden="false" customHeight="false" outlineLevel="0" collapsed="false">
      <c r="A30" s="47" t="s">
        <v>571</v>
      </c>
      <c r="B30" s="47" t="s">
        <v>570</v>
      </c>
      <c r="C30" s="5" t="s">
        <v>732</v>
      </c>
      <c r="D30" s="6" t="s">
        <v>733</v>
      </c>
      <c r="E30" s="6" t="s">
        <v>734</v>
      </c>
      <c r="F30" s="6" t="s">
        <v>730</v>
      </c>
      <c r="G30" s="6" t="s">
        <v>234</v>
      </c>
      <c r="H30" s="6"/>
      <c r="I30" s="26" t="n">
        <v>2</v>
      </c>
      <c r="J30" s="26" t="n">
        <f aca="false">COUNTIFS('Control Library'!$A$5:$A$50,"AI-CTRL-008",'Control Library'!$R$5:$R$50,"Implemented")+COUNTIFS('Control Library'!$A$5:$A$50,"AI-CTRL-009",'Control Library'!$R$5:$R$50,"Implemented")</f>
        <v>0</v>
      </c>
      <c r="K30" s="43" t="str">
        <f aca="false">IF(I30=0,"No wiki control",IF(J30=I30,"Fully covered",IF(J30=0,"Not covered","Partly covered")))</f>
        <v>Not covered</v>
      </c>
      <c r="L30" s="9" t="s">
        <v>643</v>
      </c>
    </row>
    <row r="31" customFormat="false" ht="23.85" hidden="false" customHeight="false" outlineLevel="0" collapsed="false">
      <c r="A31" s="47" t="s">
        <v>571</v>
      </c>
      <c r="B31" s="47" t="s">
        <v>570</v>
      </c>
      <c r="C31" s="5" t="s">
        <v>735</v>
      </c>
      <c r="D31" s="6" t="s">
        <v>736</v>
      </c>
      <c r="E31" s="6" t="s">
        <v>462</v>
      </c>
      <c r="F31" s="6" t="s">
        <v>730</v>
      </c>
      <c r="G31" s="6" t="s">
        <v>465</v>
      </c>
      <c r="H31" s="6"/>
      <c r="I31" s="26" t="n">
        <v>1</v>
      </c>
      <c r="J31" s="26" t="n">
        <f aca="false">COUNTIFS('Control Library'!$A$5:$A$50,"AI-CTRL-036",'Control Library'!$R$5:$R$50,"Implemented")</f>
        <v>0</v>
      </c>
      <c r="K31" s="43" t="str">
        <f aca="false">IF(I31=0,"No wiki control",IF(J31=I31,"Fully covered",IF(J31=0,"Not covered","Partly covered")))</f>
        <v>Not covered</v>
      </c>
      <c r="L31" s="9" t="s">
        <v>643</v>
      </c>
    </row>
    <row r="32" customFormat="false" ht="35.05" hidden="false" customHeight="false" outlineLevel="0" collapsed="false">
      <c r="A32" s="47" t="s">
        <v>571</v>
      </c>
      <c r="B32" s="47" t="s">
        <v>570</v>
      </c>
      <c r="C32" s="5" t="s">
        <v>737</v>
      </c>
      <c r="D32" s="6" t="s">
        <v>738</v>
      </c>
      <c r="E32" s="6" t="s">
        <v>739</v>
      </c>
      <c r="F32" s="6" t="s">
        <v>730</v>
      </c>
      <c r="G32" s="6" t="s">
        <v>740</v>
      </c>
      <c r="H32" s="6"/>
      <c r="I32" s="26" t="n">
        <v>2</v>
      </c>
      <c r="J32" s="26" t="n">
        <f aca="false">COUNTIFS('Control Library'!$A$5:$A$50,"AI-CTRL-034",'Control Library'!$R$5:$R$50,"Implemented")+COUNTIFS('Control Library'!$A$5:$A$50,"AI-CTRL-045",'Control Library'!$R$5:$R$50,"Implemented")</f>
        <v>0</v>
      </c>
      <c r="K32" s="43" t="str">
        <f aca="false">IF(I32=0,"No wiki control",IF(J32=I32,"Fully covered",IF(J32=0,"Not covered","Partly covered")))</f>
        <v>Not covered</v>
      </c>
      <c r="L32" s="9" t="s">
        <v>643</v>
      </c>
    </row>
    <row r="33" customFormat="false" ht="23.85" hidden="false" customHeight="false" outlineLevel="0" collapsed="false">
      <c r="A33" s="47" t="s">
        <v>571</v>
      </c>
      <c r="B33" s="47" t="s">
        <v>570</v>
      </c>
      <c r="C33" s="5" t="s">
        <v>741</v>
      </c>
      <c r="D33" s="6" t="s">
        <v>742</v>
      </c>
      <c r="E33" s="6" t="s">
        <v>486</v>
      </c>
      <c r="F33" s="6" t="s">
        <v>730</v>
      </c>
      <c r="G33" s="6" t="s">
        <v>490</v>
      </c>
      <c r="H33" s="6"/>
      <c r="I33" s="26" t="n">
        <v>1</v>
      </c>
      <c r="J33" s="26" t="n">
        <f aca="false">COUNTIFS('Control Library'!$A$5:$A$50,"AI-CTRL-039",'Control Library'!$R$5:$R$50,"Implemented")</f>
        <v>0</v>
      </c>
      <c r="K33" s="43" t="str">
        <f aca="false">IF(I33=0,"No wiki control",IF(J33=I33,"Fully covered",IF(J33=0,"Not covered","Partly covered")))</f>
        <v>Not covered</v>
      </c>
      <c r="L33" s="9" t="s">
        <v>643</v>
      </c>
    </row>
    <row r="34" customFormat="false" ht="23.85" hidden="false" customHeight="false" outlineLevel="0" collapsed="false">
      <c r="A34" s="47" t="s">
        <v>571</v>
      </c>
      <c r="B34" s="47" t="s">
        <v>570</v>
      </c>
      <c r="C34" s="5" t="s">
        <v>743</v>
      </c>
      <c r="D34" s="6" t="s">
        <v>744</v>
      </c>
      <c r="E34" s="6" t="s">
        <v>745</v>
      </c>
      <c r="F34" s="6" t="s">
        <v>730</v>
      </c>
      <c r="G34" s="6" t="s">
        <v>746</v>
      </c>
      <c r="H34" s="6"/>
      <c r="I34" s="26" t="n">
        <v>2</v>
      </c>
      <c r="J34" s="26" t="n">
        <f aca="false">COUNTIFS('Control Library'!$A$5:$A$50,"AI-CTRL-034",'Control Library'!$R$5:$R$50,"Implemented")+COUNTIFS('Control Library'!$A$5:$A$50,"AI-CTRL-039",'Control Library'!$R$5:$R$50,"Implemented")</f>
        <v>0</v>
      </c>
      <c r="K34" s="43" t="str">
        <f aca="false">IF(I34=0,"No wiki control",IF(J34=I34,"Fully covered",IF(J34=0,"Not covered","Partly covered")))</f>
        <v>Not covered</v>
      </c>
      <c r="L34" s="9" t="s">
        <v>643</v>
      </c>
    </row>
    <row r="35" customFormat="false" ht="23.85" hidden="false" customHeight="false" outlineLevel="0" collapsed="false">
      <c r="A35" s="47" t="s">
        <v>571</v>
      </c>
      <c r="B35" s="47" t="s">
        <v>570</v>
      </c>
      <c r="C35" s="5" t="s">
        <v>747</v>
      </c>
      <c r="D35" s="6" t="s">
        <v>748</v>
      </c>
      <c r="E35" s="6" t="s">
        <v>315</v>
      </c>
      <c r="F35" s="6" t="s">
        <v>730</v>
      </c>
      <c r="G35" s="6" t="s">
        <v>319</v>
      </c>
      <c r="H35" s="6"/>
      <c r="I35" s="26" t="n">
        <v>1</v>
      </c>
      <c r="J35" s="26" t="n">
        <f aca="false">COUNTIFS('Control Library'!$A$5:$A$50,"AI-CTRL-018",'Control Library'!$R$5:$R$50,"Implemented")</f>
        <v>0</v>
      </c>
      <c r="K35" s="43" t="str">
        <f aca="false">IF(I35=0,"No wiki control",IF(J35=I35,"Fully covered",IF(J35=0,"Not covered","Partly covered")))</f>
        <v>Not covered</v>
      </c>
      <c r="L35" s="9" t="s">
        <v>643</v>
      </c>
    </row>
    <row r="36" customFormat="false" ht="23.85" hidden="false" customHeight="false" outlineLevel="0" collapsed="false">
      <c r="A36" s="47" t="s">
        <v>571</v>
      </c>
      <c r="B36" s="47" t="s">
        <v>570</v>
      </c>
      <c r="C36" s="5" t="s">
        <v>749</v>
      </c>
      <c r="D36" s="6" t="s">
        <v>750</v>
      </c>
      <c r="E36" s="6" t="s">
        <v>664</v>
      </c>
      <c r="F36" s="6" t="s">
        <v>730</v>
      </c>
      <c r="G36" s="6" t="s">
        <v>751</v>
      </c>
      <c r="H36" s="6"/>
      <c r="I36" s="26" t="n">
        <v>3</v>
      </c>
      <c r="J36" s="26" t="n">
        <f aca="false">COUNTIFS('Control Library'!$A$5:$A$50,"AI-CTRL-008",'Control Library'!$R$5:$R$50,"Implemented")+COUNTIFS('Control Library'!$A$5:$A$50,"AI-CTRL-038",'Control Library'!$R$5:$R$50,"Implemented")+COUNTIFS('Control Library'!$A$5:$A$50,"AI-CTRL-041",'Control Library'!$R$5:$R$50,"Implemented")</f>
        <v>0</v>
      </c>
      <c r="K36" s="43" t="str">
        <f aca="false">IF(I36=0,"No wiki control",IF(J36=I36,"Fully covered",IF(J36=0,"Not covered","Partly covered")))</f>
        <v>Not covered</v>
      </c>
      <c r="L36" s="9" t="s">
        <v>643</v>
      </c>
    </row>
    <row r="37" customFormat="false" ht="23.85" hidden="false" customHeight="false" outlineLevel="0" collapsed="false">
      <c r="A37" s="47" t="s">
        <v>571</v>
      </c>
      <c r="B37" s="47" t="s">
        <v>570</v>
      </c>
      <c r="C37" s="5" t="s">
        <v>752</v>
      </c>
      <c r="D37" s="6" t="s">
        <v>753</v>
      </c>
      <c r="E37" s="6" t="s">
        <v>324</v>
      </c>
      <c r="F37" s="6" t="s">
        <v>730</v>
      </c>
      <c r="G37" s="6" t="s">
        <v>327</v>
      </c>
      <c r="H37" s="6"/>
      <c r="I37" s="26" t="n">
        <v>1</v>
      </c>
      <c r="J37" s="26" t="n">
        <f aca="false">COUNTIFS('Control Library'!$A$5:$A$50,"AI-CTRL-019",'Control Library'!$R$5:$R$50,"Implemented")</f>
        <v>0</v>
      </c>
      <c r="K37" s="43" t="str">
        <f aca="false">IF(I37=0,"No wiki control",IF(J37=I37,"Fully covered",IF(J37=0,"Not covered","Partly covered")))</f>
        <v>Not covered</v>
      </c>
      <c r="L37" s="9" t="s">
        <v>643</v>
      </c>
    </row>
    <row r="38" customFormat="false" ht="23.85" hidden="false" customHeight="false" outlineLevel="0" collapsed="false">
      <c r="A38" s="47" t="s">
        <v>571</v>
      </c>
      <c r="B38" s="47" t="s">
        <v>570</v>
      </c>
      <c r="C38" s="5" t="s">
        <v>754</v>
      </c>
      <c r="D38" s="6" t="s">
        <v>755</v>
      </c>
      <c r="E38" s="6" t="s">
        <v>756</v>
      </c>
      <c r="F38" s="6" t="s">
        <v>730</v>
      </c>
      <c r="G38" s="6" t="s">
        <v>335</v>
      </c>
      <c r="H38" s="6"/>
      <c r="I38" s="26" t="n">
        <v>2</v>
      </c>
      <c r="J38" s="26" t="n">
        <f aca="false">COUNTIFS('Control Library'!$A$5:$A$50,"AI-CTRL-005",'Control Library'!$R$5:$R$50,"Implemented")+COUNTIFS('Control Library'!$A$5:$A$50,"AI-CTRL-020",'Control Library'!$R$5:$R$50,"Implemented")</f>
        <v>0</v>
      </c>
      <c r="K38" s="43" t="str">
        <f aca="false">IF(I38=0,"No wiki control",IF(J38=I38,"Fully covered",IF(J38=0,"Not covered","Partly covered")))</f>
        <v>Not covered</v>
      </c>
      <c r="L38" s="9" t="s">
        <v>643</v>
      </c>
    </row>
    <row r="39" customFormat="false" ht="35.05" hidden="false" customHeight="false" outlineLevel="0" collapsed="false">
      <c r="A39" s="47" t="s">
        <v>571</v>
      </c>
      <c r="B39" s="47" t="s">
        <v>570</v>
      </c>
      <c r="C39" s="5" t="s">
        <v>757</v>
      </c>
      <c r="D39" s="6" t="s">
        <v>758</v>
      </c>
      <c r="E39" s="6" t="s">
        <v>759</v>
      </c>
      <c r="F39" s="6" t="s">
        <v>730</v>
      </c>
      <c r="G39" s="6" t="s">
        <v>760</v>
      </c>
      <c r="H39" s="6"/>
      <c r="I39" s="26" t="n">
        <v>2</v>
      </c>
      <c r="J39" s="26" t="n">
        <f aca="false">COUNTIFS('Control Library'!$A$5:$A$50,"AI-CTRL-033",'Control Library'!$R$5:$R$50,"Implemented")+COUNTIFS('Control Library'!$A$5:$A$50,"AI-CTRL-034",'Control Library'!$R$5:$R$50,"Implemented")</f>
        <v>0</v>
      </c>
      <c r="K39" s="43" t="str">
        <f aca="false">IF(I39=0,"No wiki control",IF(J39=I39,"Fully covered",IF(J39=0,"Not covered","Partly covered")))</f>
        <v>Not covered</v>
      </c>
      <c r="L39" s="9" t="s">
        <v>643</v>
      </c>
    </row>
    <row r="40" customFormat="false" ht="23.85" hidden="false" customHeight="false" outlineLevel="0" collapsed="false">
      <c r="A40" s="47" t="s">
        <v>571</v>
      </c>
      <c r="B40" s="47" t="s">
        <v>570</v>
      </c>
      <c r="C40" s="5" t="s">
        <v>761</v>
      </c>
      <c r="D40" s="6" t="s">
        <v>762</v>
      </c>
      <c r="E40" s="6" t="s">
        <v>763</v>
      </c>
      <c r="F40" s="6" t="s">
        <v>730</v>
      </c>
      <c r="G40" s="6" t="s">
        <v>764</v>
      </c>
      <c r="H40" s="6"/>
      <c r="I40" s="26" t="n">
        <v>2</v>
      </c>
      <c r="J40" s="26" t="n">
        <f aca="false">COUNTIFS('Control Library'!$A$5:$A$50,"AI-CTRL-017",'Control Library'!$R$5:$R$50,"Implemented")+COUNTIFS('Control Library'!$A$5:$A$50,"AI-CTRL-019",'Control Library'!$R$5:$R$50,"Implemented")</f>
        <v>0</v>
      </c>
      <c r="K40" s="43" t="str">
        <f aca="false">IF(I40=0,"No wiki control",IF(J40=I40,"Fully covered",IF(J40=0,"Not covered","Partly covered")))</f>
        <v>Not covered</v>
      </c>
      <c r="L40" s="9" t="s">
        <v>643</v>
      </c>
    </row>
    <row r="41" customFormat="false" ht="23.85" hidden="false" customHeight="false" outlineLevel="0" collapsed="false">
      <c r="A41" s="47" t="s">
        <v>571</v>
      </c>
      <c r="B41" s="47" t="s">
        <v>570</v>
      </c>
      <c r="C41" s="5" t="s">
        <v>765</v>
      </c>
      <c r="D41" s="6" t="s">
        <v>766</v>
      </c>
      <c r="E41" s="6" t="s">
        <v>767</v>
      </c>
      <c r="F41" s="6" t="s">
        <v>730</v>
      </c>
      <c r="G41" s="6" t="s">
        <v>768</v>
      </c>
      <c r="H41" s="6"/>
      <c r="I41" s="26" t="n">
        <v>3</v>
      </c>
      <c r="J41" s="26" t="n">
        <f aca="false">COUNTIFS('Control Library'!$A$5:$A$50,"AI-CTRL-013",'Control Library'!$R$5:$R$50,"Implemented")+COUNTIFS('Control Library'!$A$5:$A$50,"AI-CTRL-014",'Control Library'!$R$5:$R$50,"Implemented")+COUNTIFS('Control Library'!$A$5:$A$50,"AI-CTRL-046",'Control Library'!$R$5:$R$50,"Implemented")</f>
        <v>0</v>
      </c>
      <c r="K41" s="43" t="str">
        <f aca="false">IF(I41=0,"No wiki control",IF(J41=I41,"Fully covered",IF(J41=0,"Not covered","Partly covered")))</f>
        <v>Not covered</v>
      </c>
      <c r="L41" s="9" t="s">
        <v>643</v>
      </c>
    </row>
    <row r="42" customFormat="false" ht="23.85" hidden="false" customHeight="false" outlineLevel="0" collapsed="false">
      <c r="A42" s="47" t="s">
        <v>571</v>
      </c>
      <c r="B42" s="47" t="s">
        <v>570</v>
      </c>
      <c r="C42" s="5" t="s">
        <v>769</v>
      </c>
      <c r="D42" s="6" t="s">
        <v>770</v>
      </c>
      <c r="E42" s="6" t="s">
        <v>771</v>
      </c>
      <c r="F42" s="6" t="s">
        <v>730</v>
      </c>
      <c r="G42" s="6" t="s">
        <v>772</v>
      </c>
      <c r="H42" s="6"/>
      <c r="I42" s="26" t="n">
        <v>2</v>
      </c>
      <c r="J42" s="26" t="n">
        <f aca="false">COUNTIFS('Control Library'!$A$5:$A$50,"AI-CTRL-036",'Control Library'!$R$5:$R$50,"Implemented")+COUNTIFS('Control Library'!$A$5:$A$50,"AI-CTRL-040",'Control Library'!$R$5:$R$50,"Implemented")</f>
        <v>0</v>
      </c>
      <c r="K42" s="43" t="str">
        <f aca="false">IF(I42=0,"No wiki control",IF(J42=I42,"Fully covered",IF(J42=0,"Not covered","Partly covered")))</f>
        <v>Not covered</v>
      </c>
      <c r="L42" s="9" t="s">
        <v>643</v>
      </c>
    </row>
    <row r="43" customFormat="false" ht="23.85" hidden="false" customHeight="false" outlineLevel="0" collapsed="false">
      <c r="A43" s="47" t="s">
        <v>571</v>
      </c>
      <c r="B43" s="47" t="s">
        <v>570</v>
      </c>
      <c r="C43" s="5" t="s">
        <v>773</v>
      </c>
      <c r="D43" s="6" t="s">
        <v>774</v>
      </c>
      <c r="E43" s="6" t="s">
        <v>775</v>
      </c>
      <c r="F43" s="6" t="s">
        <v>730</v>
      </c>
      <c r="G43" s="6" t="s">
        <v>776</v>
      </c>
      <c r="H43" s="6"/>
      <c r="I43" s="26" t="n">
        <v>2</v>
      </c>
      <c r="J43" s="26" t="n">
        <f aca="false">COUNTIFS('Control Library'!$A$5:$A$50,"AI-CTRL-031",'Control Library'!$R$5:$R$50,"Implemented")+COUNTIFS('Control Library'!$A$5:$A$50,"AI-CTRL-034",'Control Library'!$R$5:$R$50,"Implemented")</f>
        <v>0</v>
      </c>
      <c r="K43" s="43" t="str">
        <f aca="false">IF(I43=0,"No wiki control",IF(J43=I43,"Fully covered",IF(J43=0,"Not covered","Partly covered")))</f>
        <v>Not covered</v>
      </c>
      <c r="L43" s="9" t="s">
        <v>643</v>
      </c>
    </row>
    <row r="44" customFormat="false" ht="23.85" hidden="false" customHeight="false" outlineLevel="0" collapsed="false">
      <c r="A44" s="47" t="s">
        <v>571</v>
      </c>
      <c r="B44" s="47" t="s">
        <v>570</v>
      </c>
      <c r="C44" s="5" t="s">
        <v>777</v>
      </c>
      <c r="D44" s="6" t="s">
        <v>778</v>
      </c>
      <c r="E44" s="6" t="s">
        <v>779</v>
      </c>
      <c r="F44" s="6" t="s">
        <v>730</v>
      </c>
      <c r="G44" s="6" t="s">
        <v>303</v>
      </c>
      <c r="H44" s="6"/>
      <c r="I44" s="26" t="n">
        <v>2</v>
      </c>
      <c r="J44" s="26" t="n">
        <f aca="false">COUNTIFS('Control Library'!$A$5:$A$50,"AI-CTRL-016",'Control Library'!$R$5:$R$50,"Implemented")+COUNTIFS('Control Library'!$A$5:$A$50,"AI-CTRL-018",'Control Library'!$R$5:$R$50,"Implemented")</f>
        <v>0</v>
      </c>
      <c r="K44" s="43" t="str">
        <f aca="false">IF(I44=0,"No wiki control",IF(J44=I44,"Fully covered",IF(J44=0,"Not covered","Partly covered")))</f>
        <v>Not covered</v>
      </c>
      <c r="L44" s="9" t="s">
        <v>643</v>
      </c>
    </row>
    <row r="45" customFormat="false" ht="23.85" hidden="false" customHeight="false" outlineLevel="0" collapsed="false">
      <c r="A45" s="47" t="s">
        <v>571</v>
      </c>
      <c r="B45" s="47" t="s">
        <v>570</v>
      </c>
      <c r="C45" s="5" t="s">
        <v>780</v>
      </c>
      <c r="D45" s="6" t="s">
        <v>781</v>
      </c>
      <c r="E45" s="6" t="s">
        <v>782</v>
      </c>
      <c r="F45" s="6" t="s">
        <v>730</v>
      </c>
      <c r="G45" s="6" t="s">
        <v>783</v>
      </c>
      <c r="H45" s="6"/>
      <c r="I45" s="26" t="n">
        <v>2</v>
      </c>
      <c r="J45" s="26" t="n">
        <f aca="false">COUNTIFS('Control Library'!$A$5:$A$50,"AI-CTRL-017",'Control Library'!$R$5:$R$50,"Implemented")+COUNTIFS('Control Library'!$A$5:$A$50,"AI-CTRL-032",'Control Library'!$R$5:$R$50,"Implemented")</f>
        <v>0</v>
      </c>
      <c r="K45" s="43" t="str">
        <f aca="false">IF(I45=0,"No wiki control",IF(J45=I45,"Fully covered",IF(J45=0,"Not covered","Partly covered")))</f>
        <v>Not covered</v>
      </c>
      <c r="L45" s="9" t="s">
        <v>643</v>
      </c>
    </row>
    <row r="46" customFormat="false" ht="23.85" hidden="false" customHeight="false" outlineLevel="0" collapsed="false">
      <c r="A46" s="47" t="s">
        <v>571</v>
      </c>
      <c r="B46" s="47" t="s">
        <v>570</v>
      </c>
      <c r="C46" s="5" t="s">
        <v>784</v>
      </c>
      <c r="D46" s="6" t="s">
        <v>785</v>
      </c>
      <c r="E46" s="6" t="s">
        <v>199</v>
      </c>
      <c r="F46" s="6" t="s">
        <v>730</v>
      </c>
      <c r="G46" s="6" t="s">
        <v>203</v>
      </c>
      <c r="H46" s="6"/>
      <c r="I46" s="26" t="n">
        <v>1</v>
      </c>
      <c r="J46" s="26" t="n">
        <f aca="false">COUNTIFS('Control Library'!$A$5:$A$50,"AI-CTRL-005",'Control Library'!$R$5:$R$50,"Implemented")</f>
        <v>0</v>
      </c>
      <c r="K46" s="43" t="str">
        <f aca="false">IF(I46=0,"No wiki control",IF(J46=I46,"Fully covered",IF(J46=0,"Not covered","Partly covered")))</f>
        <v>Not covered</v>
      </c>
      <c r="L46" s="9" t="s">
        <v>643</v>
      </c>
    </row>
    <row r="47" customFormat="false" ht="23.85" hidden="false" customHeight="false" outlineLevel="0" collapsed="false">
      <c r="A47" s="47" t="s">
        <v>571</v>
      </c>
      <c r="B47" s="47" t="s">
        <v>570</v>
      </c>
      <c r="C47" s="5" t="s">
        <v>786</v>
      </c>
      <c r="D47" s="6" t="s">
        <v>787</v>
      </c>
      <c r="E47" s="6" t="s">
        <v>788</v>
      </c>
      <c r="F47" s="6" t="s">
        <v>730</v>
      </c>
      <c r="G47" s="6" t="s">
        <v>789</v>
      </c>
      <c r="H47" s="6"/>
      <c r="I47" s="26" t="n">
        <v>2</v>
      </c>
      <c r="J47" s="26" t="n">
        <f aca="false">COUNTIFS('Control Library'!$A$5:$A$50,"AI-CTRL-016",'Control Library'!$R$5:$R$50,"Implemented")+COUNTIFS('Control Library'!$A$5:$A$50,"AI-CTRL-022",'Control Library'!$R$5:$R$50,"Implemented")</f>
        <v>0</v>
      </c>
      <c r="K47" s="43" t="str">
        <f aca="false">IF(I47=0,"No wiki control",IF(J47=I47,"Fully covered",IF(J47=0,"Not covered","Partly covered")))</f>
        <v>Not covered</v>
      </c>
      <c r="L47" s="9" t="s">
        <v>643</v>
      </c>
    </row>
    <row r="48" customFormat="false" ht="23.85" hidden="false" customHeight="false" outlineLevel="0" collapsed="false">
      <c r="A48" s="47" t="s">
        <v>571</v>
      </c>
      <c r="B48" s="47" t="s">
        <v>570</v>
      </c>
      <c r="C48" s="5" t="s">
        <v>790</v>
      </c>
      <c r="D48" s="6" t="s">
        <v>791</v>
      </c>
      <c r="E48" s="6" t="s">
        <v>792</v>
      </c>
      <c r="F48" s="6" t="s">
        <v>730</v>
      </c>
      <c r="G48" s="6" t="s">
        <v>793</v>
      </c>
      <c r="H48" s="6"/>
      <c r="I48" s="26" t="n">
        <v>3</v>
      </c>
      <c r="J48" s="26" t="n">
        <f aca="false">COUNTIFS('Control Library'!$A$5:$A$50,"AI-CTRL-020",'Control Library'!$R$5:$R$50,"Implemented")+COUNTIFS('Control Library'!$A$5:$A$50,"AI-CTRL-022",'Control Library'!$R$5:$R$50,"Implemented")+COUNTIFS('Control Library'!$A$5:$A$50,"AI-CTRL-024",'Control Library'!$R$5:$R$50,"Implemented")</f>
        <v>0</v>
      </c>
      <c r="K48" s="43" t="str">
        <f aca="false">IF(I48=0,"No wiki control",IF(J48=I48,"Fully covered",IF(J48=0,"Not covered","Partly covered")))</f>
        <v>Not covered</v>
      </c>
      <c r="L48" s="9" t="s">
        <v>643</v>
      </c>
    </row>
    <row r="49" customFormat="false" ht="23.85" hidden="false" customHeight="false" outlineLevel="0" collapsed="false">
      <c r="A49" s="47" t="s">
        <v>571</v>
      </c>
      <c r="B49" s="47" t="s">
        <v>570</v>
      </c>
      <c r="C49" s="5" t="s">
        <v>794</v>
      </c>
      <c r="D49" s="6" t="s">
        <v>795</v>
      </c>
      <c r="E49" s="6" t="s">
        <v>363</v>
      </c>
      <c r="F49" s="6" t="s">
        <v>730</v>
      </c>
      <c r="G49" s="6" t="s">
        <v>367</v>
      </c>
      <c r="H49" s="6"/>
      <c r="I49" s="26" t="n">
        <v>1</v>
      </c>
      <c r="J49" s="26" t="n">
        <f aca="false">COUNTIFS('Control Library'!$A$5:$A$50,"AI-CTRL-024",'Control Library'!$R$5:$R$50,"Implemented")</f>
        <v>0</v>
      </c>
      <c r="K49" s="43" t="str">
        <f aca="false">IF(I49=0,"No wiki control",IF(J49=I49,"Fully covered",IF(J49=0,"Not covered","Partly covered")))</f>
        <v>Not covered</v>
      </c>
      <c r="L49" s="9" t="s">
        <v>643</v>
      </c>
    </row>
    <row r="50" customFormat="false" ht="23.85" hidden="false" customHeight="false" outlineLevel="0" collapsed="false">
      <c r="A50" s="47" t="s">
        <v>571</v>
      </c>
      <c r="B50" s="47" t="s">
        <v>570</v>
      </c>
      <c r="C50" s="5" t="s">
        <v>796</v>
      </c>
      <c r="D50" s="6" t="s">
        <v>797</v>
      </c>
      <c r="E50" s="6" t="s">
        <v>798</v>
      </c>
      <c r="F50" s="6" t="s">
        <v>730</v>
      </c>
      <c r="G50" s="6" t="s">
        <v>390</v>
      </c>
      <c r="H50" s="6"/>
      <c r="I50" s="26" t="n">
        <v>2</v>
      </c>
      <c r="J50" s="26" t="n">
        <f aca="false">COUNTIFS('Control Library'!$A$5:$A$50,"AI-CTRL-006",'Control Library'!$R$5:$R$50,"Implemented")+COUNTIFS('Control Library'!$A$5:$A$50,"AI-CTRL-027",'Control Library'!$R$5:$R$50,"Implemented")</f>
        <v>0</v>
      </c>
      <c r="K50" s="43" t="str">
        <f aca="false">IF(I50=0,"No wiki control",IF(J50=I50,"Fully covered",IF(J50=0,"Not covered","Partly covered")))</f>
        <v>Not covered</v>
      </c>
      <c r="L50" s="9" t="s">
        <v>643</v>
      </c>
    </row>
    <row r="51" customFormat="false" ht="23.85" hidden="false" customHeight="false" outlineLevel="0" collapsed="false">
      <c r="A51" s="47" t="s">
        <v>571</v>
      </c>
      <c r="B51" s="47" t="s">
        <v>570</v>
      </c>
      <c r="C51" s="5" t="s">
        <v>799</v>
      </c>
      <c r="D51" s="6" t="s">
        <v>800</v>
      </c>
      <c r="E51" s="6" t="s">
        <v>801</v>
      </c>
      <c r="F51" s="6" t="s">
        <v>730</v>
      </c>
      <c r="G51" s="6" t="s">
        <v>802</v>
      </c>
      <c r="H51" s="6"/>
      <c r="I51" s="26" t="n">
        <v>2</v>
      </c>
      <c r="J51" s="26" t="n">
        <f aca="false">COUNTIFS('Control Library'!$A$5:$A$50,"AI-CTRL-015",'Control Library'!$R$5:$R$50,"Implemented")+COUNTIFS('Control Library'!$A$5:$A$50,"AI-CTRL-016",'Control Library'!$R$5:$R$50,"Implemented")</f>
        <v>0</v>
      </c>
      <c r="K51" s="43" t="str">
        <f aca="false">IF(I51=0,"No wiki control",IF(J51=I51,"Fully covered",IF(J51=0,"Not covered","Partly covered")))</f>
        <v>Not covered</v>
      </c>
      <c r="L51" s="9" t="s">
        <v>643</v>
      </c>
    </row>
    <row r="52" customFormat="false" ht="23.85" hidden="false" customHeight="false" outlineLevel="0" collapsed="false">
      <c r="A52" s="47" t="s">
        <v>571</v>
      </c>
      <c r="B52" s="47" t="s">
        <v>570</v>
      </c>
      <c r="C52" s="5" t="s">
        <v>803</v>
      </c>
      <c r="D52" s="6" t="s">
        <v>804</v>
      </c>
      <c r="E52" s="6" t="s">
        <v>805</v>
      </c>
      <c r="F52" s="6" t="s">
        <v>730</v>
      </c>
      <c r="G52" s="6" t="s">
        <v>542</v>
      </c>
      <c r="H52" s="6"/>
      <c r="I52" s="26" t="n">
        <v>2</v>
      </c>
      <c r="J52" s="26" t="n">
        <f aca="false">COUNTIFS('Control Library'!$A$5:$A$50,"AI-CTRL-023",'Control Library'!$R$5:$R$50,"Implemented")+COUNTIFS('Control Library'!$A$5:$A$50,"AI-CTRL-045",'Control Library'!$R$5:$R$50,"Implemented")</f>
        <v>0</v>
      </c>
      <c r="K52" s="43" t="str">
        <f aca="false">IF(I52=0,"No wiki control",IF(J52=I52,"Fully covered",IF(J52=0,"Not covered","Partly covered")))</f>
        <v>Not covered</v>
      </c>
      <c r="L52" s="9" t="s">
        <v>643</v>
      </c>
    </row>
    <row r="53" customFormat="false" ht="23.85" hidden="false" customHeight="false" outlineLevel="0" collapsed="false">
      <c r="A53" s="47" t="s">
        <v>571</v>
      </c>
      <c r="B53" s="47" t="s">
        <v>570</v>
      </c>
      <c r="C53" s="5" t="s">
        <v>806</v>
      </c>
      <c r="D53" s="6" t="s">
        <v>807</v>
      </c>
      <c r="E53" s="6" t="s">
        <v>725</v>
      </c>
      <c r="F53" s="6" t="s">
        <v>730</v>
      </c>
      <c r="G53" s="6" t="s">
        <v>808</v>
      </c>
      <c r="H53" s="6"/>
      <c r="I53" s="26" t="n">
        <v>2</v>
      </c>
      <c r="J53" s="26" t="n">
        <f aca="false">COUNTIFS('Control Library'!$A$5:$A$50,"AI-CTRL-024",'Control Library'!$R$5:$R$50,"Implemented")+COUNTIFS('Control Library'!$A$5:$A$50,"AI-CTRL-031",'Control Library'!$R$5:$R$50,"Implemented")</f>
        <v>0</v>
      </c>
      <c r="K53" s="43" t="str">
        <f aca="false">IF(I53=0,"No wiki control",IF(J53=I53,"Fully covered",IF(J53=0,"Not covered","Partly covered")))</f>
        <v>Not covered</v>
      </c>
      <c r="L53" s="9" t="s">
        <v>643</v>
      </c>
    </row>
    <row r="54" customFormat="false" ht="23.85" hidden="false" customHeight="false" outlineLevel="0" collapsed="false">
      <c r="A54" s="47" t="s">
        <v>572</v>
      </c>
      <c r="B54" s="47" t="s">
        <v>570</v>
      </c>
      <c r="C54" s="5" t="s">
        <v>809</v>
      </c>
      <c r="D54" s="6" t="s">
        <v>810</v>
      </c>
      <c r="E54" s="6" t="s">
        <v>478</v>
      </c>
      <c r="F54" s="6" t="s">
        <v>730</v>
      </c>
      <c r="G54" s="6" t="s">
        <v>811</v>
      </c>
      <c r="H54" s="6" t="s">
        <v>657</v>
      </c>
      <c r="I54" s="26" t="n">
        <v>1</v>
      </c>
      <c r="J54" s="26" t="n">
        <f aca="false">COUNTIFS('Control Library'!$A$5:$A$50,"AI-CTRL-038",'Control Library'!$R$5:$R$50,"Implemented")</f>
        <v>0</v>
      </c>
      <c r="K54" s="43" t="str">
        <f aca="false">IF(I54=0,"No wiki control",IF(J54=I54,"Fully covered",IF(J54=0,"Not covered","Partly covered")))</f>
        <v>Not covered</v>
      </c>
      <c r="L54" s="9" t="s">
        <v>812</v>
      </c>
    </row>
    <row r="55" customFormat="false" ht="35.05" hidden="false" customHeight="false" outlineLevel="0" collapsed="false">
      <c r="A55" s="47" t="s">
        <v>572</v>
      </c>
      <c r="B55" s="47" t="s">
        <v>570</v>
      </c>
      <c r="C55" s="5" t="s">
        <v>813</v>
      </c>
      <c r="D55" s="6" t="s">
        <v>814</v>
      </c>
      <c r="E55" s="6" t="s">
        <v>815</v>
      </c>
      <c r="F55" s="6" t="s">
        <v>640</v>
      </c>
      <c r="G55" s="6" t="s">
        <v>258</v>
      </c>
      <c r="H55" s="6" t="s">
        <v>657</v>
      </c>
      <c r="I55" s="26" t="n">
        <v>7</v>
      </c>
      <c r="J55" s="26" t="n">
        <f aca="false">COUNTIFS('Control Library'!$A$5:$A$50,"AI-CTRL-001",'Control Library'!$R$5:$R$50,"Implemented")+COUNTIFS('Control Library'!$A$5:$A$50,"AI-CTRL-010",'Control Library'!$R$5:$R$50,"Implemented")+COUNTIFS('Control Library'!$A$5:$A$50,"AI-CTRL-011",'Control Library'!$R$5:$R$50,"Implemented")+COUNTIFS('Control Library'!$A$5:$A$50,"AI-CTRL-012",'Control Library'!$R$5:$R$50,"Implemented")+COUNTIFS('Control Library'!$A$5:$A$50,"AI-CTRL-037",'Control Library'!$R$5:$R$50,"Implemented")+COUNTIFS('Control Library'!$A$5:$A$50,"AI-CTRL-044",'Control Library'!$R$5:$R$50,"Implemented")+COUNTIFS('Control Library'!$A$5:$A$50,"AI-CTRL-045",'Control Library'!$R$5:$R$50,"Implemented")</f>
        <v>0</v>
      </c>
      <c r="K55" s="43" t="str">
        <f aca="false">IF(I55=0,"No wiki control",IF(J55=I55,"Fully covered",IF(J55=0,"Not covered","Partly covered")))</f>
        <v>Not covered</v>
      </c>
      <c r="L55" s="9" t="s">
        <v>812</v>
      </c>
    </row>
    <row r="56" customFormat="false" ht="23.85" hidden="false" customHeight="false" outlineLevel="0" collapsed="false">
      <c r="A56" s="47" t="s">
        <v>572</v>
      </c>
      <c r="B56" s="47" t="s">
        <v>570</v>
      </c>
      <c r="C56" s="5" t="s">
        <v>816</v>
      </c>
      <c r="D56" s="6" t="s">
        <v>817</v>
      </c>
      <c r="E56" s="6" t="s">
        <v>263</v>
      </c>
      <c r="F56" s="6" t="s">
        <v>730</v>
      </c>
      <c r="G56" s="6" t="s">
        <v>165</v>
      </c>
      <c r="H56" s="6" t="s">
        <v>657</v>
      </c>
      <c r="I56" s="26" t="n">
        <v>1</v>
      </c>
      <c r="J56" s="26" t="n">
        <f aca="false">COUNTIFS('Control Library'!$A$5:$A$50,"AI-CTRL-012",'Control Library'!$R$5:$R$50,"Implemented")</f>
        <v>0</v>
      </c>
      <c r="K56" s="43" t="str">
        <f aca="false">IF(I56=0,"No wiki control",IF(J56=I56,"Fully covered",IF(J56=0,"Not covered","Partly covered")))</f>
        <v>Not covered</v>
      </c>
      <c r="L56" s="9" t="s">
        <v>812</v>
      </c>
    </row>
    <row r="57" customFormat="false" ht="35.05" hidden="false" customHeight="false" outlineLevel="0" collapsed="false">
      <c r="A57" s="47" t="s">
        <v>572</v>
      </c>
      <c r="B57" s="47" t="s">
        <v>570</v>
      </c>
      <c r="C57" s="5" t="s">
        <v>818</v>
      </c>
      <c r="D57" s="6" t="s">
        <v>819</v>
      </c>
      <c r="E57" s="6" t="s">
        <v>513</v>
      </c>
      <c r="F57" s="6" t="s">
        <v>730</v>
      </c>
      <c r="G57" s="6"/>
      <c r="H57" s="6" t="s">
        <v>657</v>
      </c>
      <c r="I57" s="26" t="n">
        <v>1</v>
      </c>
      <c r="J57" s="26" t="n">
        <f aca="false">COUNTIFS('Control Library'!$A$5:$A$50,"AI-CTRL-042",'Control Library'!$R$5:$R$50,"Implemented")</f>
        <v>0</v>
      </c>
      <c r="K57" s="43" t="str">
        <f aca="false">IF(I57=0,"No wiki control",IF(J57=I57,"Fully covered",IF(J57=0,"Not covered","Partly covered")))</f>
        <v>Not covered</v>
      </c>
      <c r="L57" s="9" t="s">
        <v>812</v>
      </c>
    </row>
    <row r="58" customFormat="false" ht="35.05" hidden="false" customHeight="false" outlineLevel="0" collapsed="false">
      <c r="A58" s="47" t="s">
        <v>572</v>
      </c>
      <c r="B58" s="47" t="s">
        <v>570</v>
      </c>
      <c r="C58" s="5" t="s">
        <v>820</v>
      </c>
      <c r="D58" s="6" t="s">
        <v>821</v>
      </c>
      <c r="E58" s="6" t="s">
        <v>822</v>
      </c>
      <c r="F58" s="6" t="s">
        <v>640</v>
      </c>
      <c r="G58" s="6" t="s">
        <v>823</v>
      </c>
      <c r="H58" s="6" t="s">
        <v>657</v>
      </c>
      <c r="I58" s="26" t="n">
        <v>6</v>
      </c>
      <c r="J58" s="26" t="n">
        <f aca="false">COUNTIFS('Control Library'!$A$5:$A$50,"AI-CTRL-012",'Control Library'!$R$5:$R$50,"Implemented")+COUNTIFS('Control Library'!$A$5:$A$50,"AI-CTRL-013",'Control Library'!$R$5:$R$50,"Implemented")+COUNTIFS('Control Library'!$A$5:$A$50,"AI-CTRL-037",'Control Library'!$R$5:$R$50,"Implemented")+COUNTIFS('Control Library'!$A$5:$A$50,"AI-CTRL-038",'Control Library'!$R$5:$R$50,"Implemented")+COUNTIFS('Control Library'!$A$5:$A$50,"AI-CTRL-042",'Control Library'!$R$5:$R$50,"Implemented")+COUNTIFS('Control Library'!$A$5:$A$50,"AI-CTRL-045",'Control Library'!$R$5:$R$50,"Implemented")</f>
        <v>0</v>
      </c>
      <c r="K58" s="43" t="str">
        <f aca="false">IF(I58=0,"No wiki control",IF(J58=I58,"Fully covered",IF(J58=0,"Not covered","Partly covered")))</f>
        <v>Not covered</v>
      </c>
      <c r="L58" s="9" t="s">
        <v>812</v>
      </c>
    </row>
    <row r="59" customFormat="false" ht="23.85" hidden="false" customHeight="false" outlineLevel="0" collapsed="false">
      <c r="A59" s="47" t="s">
        <v>572</v>
      </c>
      <c r="B59" s="47" t="s">
        <v>570</v>
      </c>
      <c r="C59" s="5" t="s">
        <v>824</v>
      </c>
      <c r="D59" s="6" t="s">
        <v>825</v>
      </c>
      <c r="E59" s="6" t="s">
        <v>826</v>
      </c>
      <c r="F59" s="6" t="s">
        <v>640</v>
      </c>
      <c r="G59" s="6" t="s">
        <v>827</v>
      </c>
      <c r="H59" s="6" t="s">
        <v>642</v>
      </c>
      <c r="I59" s="26" t="n">
        <v>2</v>
      </c>
      <c r="J59" s="26" t="n">
        <f aca="false">COUNTIFS('Control Library'!$A$5:$A$50,"AI-CTRL-011",'Control Library'!$R$5:$R$50,"Implemented")+COUNTIFS('Control Library'!$A$5:$A$50,"AI-CTRL-037",'Control Library'!$R$5:$R$50,"Implemented")</f>
        <v>0</v>
      </c>
      <c r="K59" s="43" t="str">
        <f aca="false">IF(I59=0,"No wiki control",IF(J59=I59,"Fully covered",IF(J59=0,"Not covered","Partly covered")))</f>
        <v>Not covered</v>
      </c>
      <c r="L59" s="9" t="s">
        <v>812</v>
      </c>
    </row>
    <row r="60" customFormat="false" ht="23.85" hidden="false" customHeight="false" outlineLevel="0" collapsed="false">
      <c r="A60" s="47" t="s">
        <v>572</v>
      </c>
      <c r="B60" s="47" t="s">
        <v>570</v>
      </c>
      <c r="C60" s="5" t="s">
        <v>828</v>
      </c>
      <c r="D60" s="6" t="s">
        <v>829</v>
      </c>
      <c r="E60" s="6" t="s">
        <v>826</v>
      </c>
      <c r="F60" s="6" t="s">
        <v>640</v>
      </c>
      <c r="G60" s="6" t="s">
        <v>827</v>
      </c>
      <c r="H60" s="6" t="s">
        <v>642</v>
      </c>
      <c r="I60" s="26" t="n">
        <v>2</v>
      </c>
      <c r="J60" s="26" t="n">
        <f aca="false">COUNTIFS('Control Library'!$A$5:$A$50,"AI-CTRL-011",'Control Library'!$R$5:$R$50,"Implemented")+COUNTIFS('Control Library'!$A$5:$A$50,"AI-CTRL-037",'Control Library'!$R$5:$R$50,"Implemented")</f>
        <v>0</v>
      </c>
      <c r="K60" s="43" t="str">
        <f aca="false">IF(I60=0,"No wiki control",IF(J60=I60,"Fully covered",IF(J60=0,"Not covered","Partly covered")))</f>
        <v>Not covered</v>
      </c>
      <c r="L60" s="9" t="s">
        <v>812</v>
      </c>
    </row>
    <row r="61" customFormat="false" ht="35.05" hidden="false" customHeight="false" outlineLevel="0" collapsed="false">
      <c r="A61" s="47" t="s">
        <v>572</v>
      </c>
      <c r="B61" s="47" t="s">
        <v>570</v>
      </c>
      <c r="C61" s="5" t="s">
        <v>830</v>
      </c>
      <c r="D61" s="6" t="s">
        <v>831</v>
      </c>
      <c r="E61" s="6" t="s">
        <v>655</v>
      </c>
      <c r="F61" s="6" t="s">
        <v>640</v>
      </c>
      <c r="G61" s="6" t="s">
        <v>832</v>
      </c>
      <c r="H61" s="6" t="s">
        <v>657</v>
      </c>
      <c r="I61" s="26" t="n">
        <v>4</v>
      </c>
      <c r="J61" s="26" t="n">
        <f aca="false">COUNTIFS('Control Library'!$A$5:$A$50,"AI-CTRL-011",'Control Library'!$R$5:$R$50,"Implemented")+COUNTIFS('Control Library'!$A$5:$A$50,"AI-CTRL-012",'Control Library'!$R$5:$R$50,"Implemented")+COUNTIFS('Control Library'!$A$5:$A$50,"AI-CTRL-037",'Control Library'!$R$5:$R$50,"Implemented")+COUNTIFS('Control Library'!$A$5:$A$50,"AI-CTRL-045",'Control Library'!$R$5:$R$50,"Implemented")</f>
        <v>0</v>
      </c>
      <c r="K61" s="43" t="str">
        <f aca="false">IF(I61=0,"No wiki control",IF(J61=I61,"Fully covered",IF(J61=0,"Not covered","Partly covered")))</f>
        <v>Not covered</v>
      </c>
      <c r="L61" s="9" t="s">
        <v>812</v>
      </c>
    </row>
    <row r="62" customFormat="false" ht="23.85" hidden="false" customHeight="false" outlineLevel="0" collapsed="false">
      <c r="A62" s="47" t="s">
        <v>572</v>
      </c>
      <c r="B62" s="47" t="s">
        <v>570</v>
      </c>
      <c r="C62" s="5" t="s">
        <v>833</v>
      </c>
      <c r="D62" s="6" t="s">
        <v>834</v>
      </c>
      <c r="E62" s="6" t="s">
        <v>835</v>
      </c>
      <c r="F62" s="6" t="s">
        <v>640</v>
      </c>
      <c r="G62" s="6" t="s">
        <v>836</v>
      </c>
      <c r="H62" s="6" t="s">
        <v>642</v>
      </c>
      <c r="I62" s="26" t="n">
        <v>4</v>
      </c>
      <c r="J62" s="26" t="n">
        <f aca="false">COUNTIFS('Control Library'!$A$5:$A$50,"AI-CTRL-011",'Control Library'!$R$5:$R$50,"Implemented")+COUNTIFS('Control Library'!$A$5:$A$50,"AI-CTRL-014",'Control Library'!$R$5:$R$50,"Implemented")+COUNTIFS('Control Library'!$A$5:$A$50,"AI-CTRL-036",'Control Library'!$R$5:$R$50,"Implemented")+COUNTIFS('Control Library'!$A$5:$A$50,"AI-CTRL-037",'Control Library'!$R$5:$R$50,"Implemented")</f>
        <v>0</v>
      </c>
      <c r="K62" s="43" t="str">
        <f aca="false">IF(I62=0,"No wiki control",IF(J62=I62,"Fully covered",IF(J62=0,"Not covered","Partly covered")))</f>
        <v>Not covered</v>
      </c>
      <c r="L62" s="9" t="s">
        <v>812</v>
      </c>
    </row>
    <row r="63" customFormat="false" ht="91" hidden="false" customHeight="false" outlineLevel="0" collapsed="false">
      <c r="A63" s="47" t="s">
        <v>572</v>
      </c>
      <c r="B63" s="47" t="s">
        <v>570</v>
      </c>
      <c r="C63" s="5" t="s">
        <v>837</v>
      </c>
      <c r="D63" s="6" t="s">
        <v>838</v>
      </c>
      <c r="E63" s="6" t="s">
        <v>839</v>
      </c>
      <c r="F63" s="6" t="s">
        <v>640</v>
      </c>
      <c r="G63" s="6" t="s">
        <v>840</v>
      </c>
      <c r="H63" s="6" t="s">
        <v>642</v>
      </c>
      <c r="I63" s="26" t="n">
        <v>20</v>
      </c>
      <c r="J63" s="26" t="n">
        <f aca="false">COUNTIFS('Control Library'!$A$5:$A$50,"AI-CTRL-002",'Control Library'!$R$5:$R$50,"Implemented")+COUNTIFS('Control Library'!$A$5:$A$50,"AI-CTRL-003",'Control Library'!$R$5:$R$50,"Implemented")+COUNTIFS('Control Library'!$A$5:$A$50,"AI-CTRL-005",'Control Library'!$R$5:$R$50,"Implemented")+COUNTIFS('Control Library'!$A$5:$A$50,"AI-CTRL-007",'Control Library'!$R$5:$R$50,"Implemented")+COUNTIFS('Control Library'!$A$5:$A$50,"AI-CTRL-010",'Control Library'!$R$5:$R$50,"Implemented")+COUNTIFS('Control Library'!$A$5:$A$50,"AI-CTRL-012",'Control Library'!$R$5:$R$50,"Implemented")+COUNTIFS('Control Library'!$A$5:$A$50,"AI-CTRL-013",'Control Library'!$R$5:$R$50,"Implemented")+COUNTIFS('Control Library'!$A$5:$A$50,"AI-CTRL-014",'Control Library'!$R$5:$R$50,"Implemented")+COUNTIFS('Control Library'!$A$5:$A$50,"AI-CTRL-016",'Control Library'!$R$5:$R$50,"Implemented")+COUNTIFS('Control Library'!$A$5:$A$50,"AI-CTRL-017",'Control Library'!$R$5:$R$50,"Implemented")+COUNTIFS('Control Library'!$A$5:$A$50,"AI-CTRL-018",'Control Library'!$R$5:$R$50,"Implemented")+COUNTIFS('Control Library'!$A$5:$A$50,"AI-CTRL-020",'Control Library'!$R$5:$R$50,"Implemented")+COUNTIFS('Control Library'!$A$5:$A$50,"AI-CTRL-021",'Control Library'!$R$5:$R$50,"Implemented")+COUNTIFS('Control Library'!$A$5:$A$50,"AI-CTRL-029",'Control Library'!$R$5:$R$50,"Implemented")+COUNTIFS('Control Library'!$A$5:$A$50,"AI-CTRL-032",'Control Library'!$R$5:$R$50,"Implemented")+COUNTIFS('Control Library'!$A$5:$A$50,"AI-CTRL-037",'Control Library'!$R$5:$R$50,"Implemented")+COUNTIFS('Control Library'!$A$5:$A$50,"AI-CTRL-038",'Control Library'!$R$5:$R$50,"Implemented")+COUNTIFS('Control Library'!$A$5:$A$50,"AI-CTRL-042",'Control Library'!$R$5:$R$50,"Implemented")+COUNTIFS('Control Library'!$A$5:$A$50,"AI-CTRL-043",'Control Library'!$R$5:$R$50,"Implemented")+COUNTIFS('Control Library'!$A$5:$A$50,"AI-CTRL-045",'Control Library'!$R$5:$R$50,"Implemented")</f>
        <v>0</v>
      </c>
      <c r="K63" s="43" t="str">
        <f aca="false">IF(I63=0,"No wiki control",IF(J63=I63,"Fully covered",IF(J63=0,"Not covered","Partly covered")))</f>
        <v>Not covered</v>
      </c>
      <c r="L63" s="9" t="s">
        <v>812</v>
      </c>
    </row>
    <row r="64" customFormat="false" ht="23.85" hidden="false" customHeight="false" outlineLevel="0" collapsed="false">
      <c r="A64" s="47" t="s">
        <v>572</v>
      </c>
      <c r="B64" s="47" t="s">
        <v>570</v>
      </c>
      <c r="C64" s="5" t="s">
        <v>841</v>
      </c>
      <c r="D64" s="6" t="s">
        <v>842</v>
      </c>
      <c r="E64" s="6" t="s">
        <v>670</v>
      </c>
      <c r="F64" s="6" t="s">
        <v>640</v>
      </c>
      <c r="G64" s="6" t="s">
        <v>671</v>
      </c>
      <c r="H64" s="6" t="s">
        <v>642</v>
      </c>
      <c r="I64" s="26" t="n">
        <v>3</v>
      </c>
      <c r="J64" s="26" t="n">
        <f aca="false">COUNTIFS('Control Library'!$A$5:$A$50,"AI-CTRL-017",'Control Library'!$R$5:$R$50,"Implemented")+COUNTIFS('Control Library'!$A$5:$A$50,"AI-CTRL-019",'Control Library'!$R$5:$R$50,"Implemented")+COUNTIFS('Control Library'!$A$5:$A$50,"AI-CTRL-034",'Control Library'!$R$5:$R$50,"Implemented")</f>
        <v>0</v>
      </c>
      <c r="K64" s="43" t="str">
        <f aca="false">IF(I64=0,"No wiki control",IF(J64=I64,"Fully covered",IF(J64=0,"Not covered","Partly covered")))</f>
        <v>Not covered</v>
      </c>
      <c r="L64" s="9" t="s">
        <v>812</v>
      </c>
    </row>
    <row r="65" customFormat="false" ht="46.25" hidden="false" customHeight="false" outlineLevel="0" collapsed="false">
      <c r="A65" s="47" t="s">
        <v>572</v>
      </c>
      <c r="B65" s="47" t="s">
        <v>570</v>
      </c>
      <c r="C65" s="5" t="s">
        <v>843</v>
      </c>
      <c r="D65" s="6" t="s">
        <v>844</v>
      </c>
      <c r="E65" s="6" t="s">
        <v>845</v>
      </c>
      <c r="F65" s="6" t="s">
        <v>640</v>
      </c>
      <c r="G65" s="6" t="s">
        <v>846</v>
      </c>
      <c r="H65" s="6" t="s">
        <v>642</v>
      </c>
      <c r="I65" s="26" t="n">
        <v>10</v>
      </c>
      <c r="J65" s="26" t="n">
        <f aca="false">COUNTIFS('Control Library'!$A$5:$A$50,"AI-CTRL-008",'Control Library'!$R$5:$R$50,"Implemented")+COUNTIFS('Control Library'!$A$5:$A$50,"AI-CTRL-013",'Control Library'!$R$5:$R$50,"Implemented")+COUNTIFS('Control Library'!$A$5:$A$50,"AI-CTRL-017",'Control Library'!$R$5:$R$50,"Implemented")+COUNTIFS('Control Library'!$A$5:$A$50,"AI-CTRL-025",'Control Library'!$R$5:$R$50,"Implemented")+COUNTIFS('Control Library'!$A$5:$A$50,"AI-CTRL-026",'Control Library'!$R$5:$R$50,"Implemented")+COUNTIFS('Control Library'!$A$5:$A$50,"AI-CTRL-027",'Control Library'!$R$5:$R$50,"Implemented")+COUNTIFS('Control Library'!$A$5:$A$50,"AI-CTRL-029",'Control Library'!$R$5:$R$50,"Implemented")+COUNTIFS('Control Library'!$A$5:$A$50,"AI-CTRL-035",'Control Library'!$R$5:$R$50,"Implemented")+COUNTIFS('Control Library'!$A$5:$A$50,"AI-CTRL-038",'Control Library'!$R$5:$R$50,"Implemented")+COUNTIFS('Control Library'!$A$5:$A$50,"AI-CTRL-042",'Control Library'!$R$5:$R$50,"Implemented")</f>
        <v>0</v>
      </c>
      <c r="K65" s="43" t="str">
        <f aca="false">IF(I65=0,"No wiki control",IF(J65=I65,"Fully covered",IF(J65=0,"Not covered","Partly covered")))</f>
        <v>Not covered</v>
      </c>
      <c r="L65" s="9" t="s">
        <v>812</v>
      </c>
    </row>
    <row r="66" customFormat="false" ht="23.85" hidden="false" customHeight="false" outlineLevel="0" collapsed="false">
      <c r="A66" s="47" t="s">
        <v>572</v>
      </c>
      <c r="B66" s="47" t="s">
        <v>570</v>
      </c>
      <c r="C66" s="5" t="s">
        <v>847</v>
      </c>
      <c r="D66" s="6" t="s">
        <v>848</v>
      </c>
      <c r="E66" s="6" t="s">
        <v>404</v>
      </c>
      <c r="F66" s="6" t="s">
        <v>730</v>
      </c>
      <c r="G66" s="6" t="s">
        <v>849</v>
      </c>
      <c r="H66" s="6" t="s">
        <v>657</v>
      </c>
      <c r="I66" s="26" t="n">
        <v>1</v>
      </c>
      <c r="J66" s="26" t="n">
        <f aca="false">COUNTIFS('Control Library'!$A$5:$A$50,"AI-CTRL-029",'Control Library'!$R$5:$R$50,"Implemented")</f>
        <v>0</v>
      </c>
      <c r="K66" s="43" t="str">
        <f aca="false">IF(I66=0,"No wiki control",IF(J66=I66,"Fully covered",IF(J66=0,"Not covered","Partly covered")))</f>
        <v>Not covered</v>
      </c>
      <c r="L66" s="9" t="s">
        <v>812</v>
      </c>
    </row>
    <row r="67" customFormat="false" ht="35.05" hidden="false" customHeight="false" outlineLevel="0" collapsed="false">
      <c r="A67" s="47" t="s">
        <v>572</v>
      </c>
      <c r="B67" s="47" t="s">
        <v>570</v>
      </c>
      <c r="C67" s="5" t="s">
        <v>850</v>
      </c>
      <c r="D67" s="6" t="s">
        <v>851</v>
      </c>
      <c r="E67" s="6" t="s">
        <v>852</v>
      </c>
      <c r="F67" s="6" t="s">
        <v>640</v>
      </c>
      <c r="G67" s="6" t="s">
        <v>853</v>
      </c>
      <c r="H67" s="6" t="s">
        <v>642</v>
      </c>
      <c r="I67" s="26" t="n">
        <v>7</v>
      </c>
      <c r="J67" s="26" t="n">
        <f aca="false">COUNTIFS('Control Library'!$A$5:$A$50,"AI-CTRL-002",'Control Library'!$R$5:$R$50,"Implemented")+COUNTIFS('Control Library'!$A$5:$A$50,"AI-CTRL-003",'Control Library'!$R$5:$R$50,"Implemented")+COUNTIFS('Control Library'!$A$5:$A$50,"AI-CTRL-012",'Control Library'!$R$5:$R$50,"Implemented")+COUNTIFS('Control Library'!$A$5:$A$50,"AI-CTRL-013",'Control Library'!$R$5:$R$50,"Implemented")+COUNTIFS('Control Library'!$A$5:$A$50,"AI-CTRL-014",'Control Library'!$R$5:$R$50,"Implemented")+COUNTIFS('Control Library'!$A$5:$A$50,"AI-CTRL-031",'Control Library'!$R$5:$R$50,"Implemented")+COUNTIFS('Control Library'!$A$5:$A$50,"AI-CTRL-046",'Control Library'!$R$5:$R$50,"Implemented")</f>
        <v>0</v>
      </c>
      <c r="K67" s="43" t="str">
        <f aca="false">IF(I67=0,"No wiki control",IF(J67=I67,"Fully covered",IF(J67=0,"Not covered","Partly covered")))</f>
        <v>Not covered</v>
      </c>
      <c r="L67" s="9" t="s">
        <v>812</v>
      </c>
    </row>
    <row r="68" customFormat="false" ht="35.05" hidden="false" customHeight="false" outlineLevel="0" collapsed="false">
      <c r="A68" s="47" t="s">
        <v>572</v>
      </c>
      <c r="B68" s="47" t="s">
        <v>570</v>
      </c>
      <c r="C68" s="5" t="s">
        <v>854</v>
      </c>
      <c r="D68" s="6" t="s">
        <v>855</v>
      </c>
      <c r="E68" s="6" t="s">
        <v>856</v>
      </c>
      <c r="F68" s="6" t="s">
        <v>640</v>
      </c>
      <c r="G68" s="6" t="s">
        <v>857</v>
      </c>
      <c r="H68" s="6" t="s">
        <v>642</v>
      </c>
      <c r="I68" s="26" t="n">
        <v>7</v>
      </c>
      <c r="J68" s="26" t="n">
        <f aca="false">COUNTIFS('Control Library'!$A$5:$A$50,"AI-CTRL-033",'Control Library'!$R$5:$R$50,"Implemented")+COUNTIFS('Control Library'!$A$5:$A$50,"AI-CTRL-034",'Control Library'!$R$5:$R$50,"Implemented")+COUNTIFS('Control Library'!$A$5:$A$50,"AI-CTRL-038",'Control Library'!$R$5:$R$50,"Implemented")+COUNTIFS('Control Library'!$A$5:$A$50,"AI-CTRL-039",'Control Library'!$R$5:$R$50,"Implemented")+COUNTIFS('Control Library'!$A$5:$A$50,"AI-CTRL-041",'Control Library'!$R$5:$R$50,"Implemented")+COUNTIFS('Control Library'!$A$5:$A$50,"AI-CTRL-042",'Control Library'!$R$5:$R$50,"Implemented")+COUNTIFS('Control Library'!$A$5:$A$50,"AI-CTRL-045",'Control Library'!$R$5:$R$50,"Implemented")</f>
        <v>0</v>
      </c>
      <c r="K68" s="43" t="str">
        <f aca="false">IF(I68=0,"No wiki control",IF(J68=I68,"Fully covered",IF(J68=0,"Not covered","Partly covered")))</f>
        <v>Not covered</v>
      </c>
      <c r="L68" s="9" t="s">
        <v>812</v>
      </c>
    </row>
    <row r="69" customFormat="false" ht="23.85" hidden="false" customHeight="false" outlineLevel="0" collapsed="false">
      <c r="A69" s="47" t="s">
        <v>572</v>
      </c>
      <c r="B69" s="47" t="s">
        <v>570</v>
      </c>
      <c r="C69" s="5" t="s">
        <v>858</v>
      </c>
      <c r="D69" s="6" t="s">
        <v>859</v>
      </c>
      <c r="E69" s="6" t="s">
        <v>413</v>
      </c>
      <c r="F69" s="6" t="s">
        <v>730</v>
      </c>
      <c r="G69" s="6" t="s">
        <v>399</v>
      </c>
      <c r="H69" s="6" t="s">
        <v>657</v>
      </c>
      <c r="I69" s="26" t="n">
        <v>1</v>
      </c>
      <c r="J69" s="26" t="n">
        <f aca="false">COUNTIFS('Control Library'!$A$5:$A$50,"AI-CTRL-030",'Control Library'!$R$5:$R$50,"Implemented")</f>
        <v>0</v>
      </c>
      <c r="K69" s="43" t="str">
        <f aca="false">IF(I69=0,"No wiki control",IF(J69=I69,"Fully covered",IF(J69=0,"Not covered","Partly covered")))</f>
        <v>Not covered</v>
      </c>
      <c r="L69" s="9" t="s">
        <v>812</v>
      </c>
    </row>
    <row r="70" customFormat="false" ht="23.85" hidden="false" customHeight="false" outlineLevel="0" collapsed="false">
      <c r="A70" s="47" t="s">
        <v>572</v>
      </c>
      <c r="B70" s="47" t="s">
        <v>570</v>
      </c>
      <c r="C70" s="5" t="s">
        <v>860</v>
      </c>
      <c r="D70" s="6" t="s">
        <v>861</v>
      </c>
      <c r="E70" s="6" t="s">
        <v>664</v>
      </c>
      <c r="F70" s="6" t="s">
        <v>640</v>
      </c>
      <c r="G70" s="6" t="s">
        <v>665</v>
      </c>
      <c r="H70" s="6" t="s">
        <v>642</v>
      </c>
      <c r="I70" s="26" t="n">
        <v>3</v>
      </c>
      <c r="J70" s="26" t="n">
        <f aca="false">COUNTIFS('Control Library'!$A$5:$A$50,"AI-CTRL-008",'Control Library'!$R$5:$R$50,"Implemented")+COUNTIFS('Control Library'!$A$5:$A$50,"AI-CTRL-038",'Control Library'!$R$5:$R$50,"Implemented")+COUNTIFS('Control Library'!$A$5:$A$50,"AI-CTRL-041",'Control Library'!$R$5:$R$50,"Implemented")</f>
        <v>0</v>
      </c>
      <c r="K70" s="43" t="str">
        <f aca="false">IF(I70=0,"No wiki control",IF(J70=I70,"Fully covered",IF(J70=0,"Not covered","Partly covered")))</f>
        <v>Not covered</v>
      </c>
      <c r="L70" s="9" t="s">
        <v>812</v>
      </c>
    </row>
    <row r="71" customFormat="false" ht="46.25" hidden="false" customHeight="false" outlineLevel="0" collapsed="false">
      <c r="A71" s="47" t="s">
        <v>572</v>
      </c>
      <c r="B71" s="47" t="s">
        <v>570</v>
      </c>
      <c r="C71" s="5" t="s">
        <v>862</v>
      </c>
      <c r="D71" s="6" t="s">
        <v>863</v>
      </c>
      <c r="E71" s="6" t="s">
        <v>864</v>
      </c>
      <c r="F71" s="6" t="s">
        <v>640</v>
      </c>
      <c r="G71" s="6" t="s">
        <v>865</v>
      </c>
      <c r="H71" s="6" t="s">
        <v>642</v>
      </c>
      <c r="I71" s="26" t="n">
        <v>9</v>
      </c>
      <c r="J71" s="26" t="n">
        <f aca="false">COUNTIFS('Control Library'!$A$5:$A$50,"AI-CTRL-008",'Control Library'!$R$5:$R$50,"Implemented")+COUNTIFS('Control Library'!$A$5:$A$50,"AI-CTRL-009",'Control Library'!$R$5:$R$50,"Implemented")+COUNTIFS('Control Library'!$A$5:$A$50,"AI-CTRL-030",'Control Library'!$R$5:$R$50,"Implemented")+COUNTIFS('Control Library'!$A$5:$A$50,"AI-CTRL-033",'Control Library'!$R$5:$R$50,"Implemented")+COUNTIFS('Control Library'!$A$5:$A$50,"AI-CTRL-034",'Control Library'!$R$5:$R$50,"Implemented")+COUNTIFS('Control Library'!$A$5:$A$50,"AI-CTRL-035",'Control Library'!$R$5:$R$50,"Implemented")+COUNTIFS('Control Library'!$A$5:$A$50,"AI-CTRL-038",'Control Library'!$R$5:$R$50,"Implemented")+COUNTIFS('Control Library'!$A$5:$A$50,"AI-CTRL-041",'Control Library'!$R$5:$R$50,"Implemented")+COUNTIFS('Control Library'!$A$5:$A$50,"AI-CTRL-043",'Control Library'!$R$5:$R$50,"Implemented")</f>
        <v>0</v>
      </c>
      <c r="K71" s="43" t="str">
        <f aca="false">IF(I71=0,"No wiki control",IF(J71=I71,"Fully covered",IF(J71=0,"Not covered","Partly covered")))</f>
        <v>Not covered</v>
      </c>
      <c r="L71" s="9" t="s">
        <v>812</v>
      </c>
    </row>
    <row r="72" customFormat="false" ht="35.05" hidden="false" customHeight="false" outlineLevel="0" collapsed="false">
      <c r="A72" s="47" t="s">
        <v>572</v>
      </c>
      <c r="B72" s="47" t="s">
        <v>570</v>
      </c>
      <c r="C72" s="5" t="s">
        <v>866</v>
      </c>
      <c r="D72" s="6" t="s">
        <v>867</v>
      </c>
      <c r="E72" s="6" t="s">
        <v>868</v>
      </c>
      <c r="F72" s="6" t="s">
        <v>640</v>
      </c>
      <c r="G72" s="6" t="s">
        <v>869</v>
      </c>
      <c r="H72" s="6" t="s">
        <v>642</v>
      </c>
      <c r="I72" s="26" t="n">
        <v>7</v>
      </c>
      <c r="J72" s="26" t="n">
        <f aca="false">COUNTIFS('Control Library'!$A$5:$A$50,"AI-CTRL-014",'Control Library'!$R$5:$R$50,"Implemented")+COUNTIFS('Control Library'!$A$5:$A$50,"AI-CTRL-017",'Control Library'!$R$5:$R$50,"Implemented")+COUNTIFS('Control Library'!$A$5:$A$50,"AI-CTRL-019",'Control Library'!$R$5:$R$50,"Implemented")+COUNTIFS('Control Library'!$A$5:$A$50,"AI-CTRL-031",'Control Library'!$R$5:$R$50,"Implemented")+COUNTIFS('Control Library'!$A$5:$A$50,"AI-CTRL-033",'Control Library'!$R$5:$R$50,"Implemented")+COUNTIFS('Control Library'!$A$5:$A$50,"AI-CTRL-034",'Control Library'!$R$5:$R$50,"Implemented")+COUNTIFS('Control Library'!$A$5:$A$50,"AI-CTRL-040",'Control Library'!$R$5:$R$50,"Implemented")</f>
        <v>0</v>
      </c>
      <c r="K72" s="43" t="str">
        <f aca="false">IF(I72=0,"No wiki control",IF(J72=I72,"Fully covered",IF(J72=0,"Not covered","Partly covered")))</f>
        <v>Not covered</v>
      </c>
      <c r="L72" s="9" t="s">
        <v>812</v>
      </c>
    </row>
    <row r="73" customFormat="false" ht="46.25" hidden="false" customHeight="false" outlineLevel="0" collapsed="false">
      <c r="A73" s="47" t="s">
        <v>572</v>
      </c>
      <c r="B73" s="47" t="s">
        <v>570</v>
      </c>
      <c r="C73" s="5" t="s">
        <v>870</v>
      </c>
      <c r="D73" s="6" t="s">
        <v>871</v>
      </c>
      <c r="E73" s="6" t="s">
        <v>872</v>
      </c>
      <c r="F73" s="6" t="s">
        <v>640</v>
      </c>
      <c r="G73" s="6" t="s">
        <v>873</v>
      </c>
      <c r="H73" s="6" t="s">
        <v>642</v>
      </c>
      <c r="I73" s="26" t="n">
        <v>9</v>
      </c>
      <c r="J73" s="26" t="n">
        <f aca="false">COUNTIFS('Control Library'!$A$5:$A$50,"AI-CTRL-004",'Control Library'!$R$5:$R$50,"Implemented")+COUNTIFS('Control Library'!$A$5:$A$50,"AI-CTRL-005",'Control Library'!$R$5:$R$50,"Implemented")+COUNTIFS('Control Library'!$A$5:$A$50,"AI-CTRL-006",'Control Library'!$R$5:$R$50,"Implemented")+COUNTIFS('Control Library'!$A$5:$A$50,"AI-CTRL-015",'Control Library'!$R$5:$R$50,"Implemented")+COUNTIFS('Control Library'!$A$5:$A$50,"AI-CTRL-016",'Control Library'!$R$5:$R$50,"Implemented")+COUNTIFS('Control Library'!$A$5:$A$50,"AI-CTRL-017",'Control Library'!$R$5:$R$50,"Implemented")+COUNTIFS('Control Library'!$A$5:$A$50,"AI-CTRL-018",'Control Library'!$R$5:$R$50,"Implemented")+COUNTIFS('Control Library'!$A$5:$A$50,"AI-CTRL-020",'Control Library'!$R$5:$R$50,"Implemented")+COUNTIFS('Control Library'!$A$5:$A$50,"AI-CTRL-027",'Control Library'!$R$5:$R$50,"Implemented")</f>
        <v>0</v>
      </c>
      <c r="K73" s="43" t="str">
        <f aca="false">IF(I73=0,"No wiki control",IF(J73=I73,"Fully covered",IF(J73=0,"Not covered","Partly covered")))</f>
        <v>Not covered</v>
      </c>
      <c r="L73" s="9" t="s">
        <v>812</v>
      </c>
    </row>
    <row r="74" customFormat="false" ht="23.85" hidden="false" customHeight="false" outlineLevel="0" collapsed="false">
      <c r="A74" s="47" t="s">
        <v>572</v>
      </c>
      <c r="B74" s="47" t="s">
        <v>570</v>
      </c>
      <c r="C74" s="5" t="s">
        <v>874</v>
      </c>
      <c r="D74" s="6" t="s">
        <v>875</v>
      </c>
      <c r="E74" s="6" t="s">
        <v>876</v>
      </c>
      <c r="F74" s="6" t="s">
        <v>730</v>
      </c>
      <c r="G74" s="6" t="s">
        <v>877</v>
      </c>
      <c r="H74" s="6" t="s">
        <v>642</v>
      </c>
      <c r="I74" s="26" t="n">
        <v>2</v>
      </c>
      <c r="J74" s="26" t="n">
        <f aca="false">COUNTIFS('Control Library'!$A$5:$A$50,"AI-CTRL-019",'Control Library'!$R$5:$R$50,"Implemented")+COUNTIFS('Control Library'!$A$5:$A$50,"AI-CTRL-029",'Control Library'!$R$5:$R$50,"Implemented")</f>
        <v>0</v>
      </c>
      <c r="K74" s="43" t="str">
        <f aca="false">IF(I74=0,"No wiki control",IF(J74=I74,"Fully covered",IF(J74=0,"Not covered","Partly covered")))</f>
        <v>Not covered</v>
      </c>
      <c r="L74" s="9" t="s">
        <v>812</v>
      </c>
    </row>
    <row r="75" customFormat="false" ht="35.05" hidden="false" customHeight="false" outlineLevel="0" collapsed="false">
      <c r="A75" s="47" t="s">
        <v>572</v>
      </c>
      <c r="B75" s="47" t="s">
        <v>570</v>
      </c>
      <c r="C75" s="5" t="s">
        <v>878</v>
      </c>
      <c r="D75" s="6" t="s">
        <v>879</v>
      </c>
      <c r="E75" s="6" t="s">
        <v>880</v>
      </c>
      <c r="F75" s="6" t="s">
        <v>640</v>
      </c>
      <c r="G75" s="6" t="s">
        <v>881</v>
      </c>
      <c r="H75" s="6" t="s">
        <v>642</v>
      </c>
      <c r="I75" s="26" t="n">
        <v>8</v>
      </c>
      <c r="J75" s="26" t="n">
        <f aca="false">COUNTIFS('Control Library'!$A$5:$A$50,"AI-CTRL-005",'Control Library'!$R$5:$R$50,"Implemented")+COUNTIFS('Control Library'!$A$5:$A$50,"AI-CTRL-008",'Control Library'!$R$5:$R$50,"Implemented")+COUNTIFS('Control Library'!$A$5:$A$50,"AI-CTRL-019",'Control Library'!$R$5:$R$50,"Implemented")+COUNTIFS('Control Library'!$A$5:$A$50,"AI-CTRL-020",'Control Library'!$R$5:$R$50,"Implemented")+COUNTIFS('Control Library'!$A$5:$A$50,"AI-CTRL-021",'Control Library'!$R$5:$R$50,"Implemented")+COUNTIFS('Control Library'!$A$5:$A$50,"AI-CTRL-026",'Control Library'!$R$5:$R$50,"Implemented")+COUNTIFS('Control Library'!$A$5:$A$50,"AI-CTRL-033",'Control Library'!$R$5:$R$50,"Implemented")+COUNTIFS('Control Library'!$A$5:$A$50,"AI-CTRL-034",'Control Library'!$R$5:$R$50,"Implemented")</f>
        <v>0</v>
      </c>
      <c r="K75" s="43" t="str">
        <f aca="false">IF(I75=0,"No wiki control",IF(J75=I75,"Fully covered",IF(J75=0,"Not covered","Partly covered")))</f>
        <v>Not covered</v>
      </c>
      <c r="L75" s="9" t="s">
        <v>812</v>
      </c>
    </row>
    <row r="76" customFormat="false" ht="57.45" hidden="false" customHeight="false" outlineLevel="0" collapsed="false">
      <c r="A76" s="47" t="s">
        <v>572</v>
      </c>
      <c r="B76" s="47" t="s">
        <v>570</v>
      </c>
      <c r="C76" s="5" t="s">
        <v>882</v>
      </c>
      <c r="D76" s="6" t="s">
        <v>883</v>
      </c>
      <c r="E76" s="6" t="s">
        <v>884</v>
      </c>
      <c r="F76" s="6" t="s">
        <v>640</v>
      </c>
      <c r="G76" s="6" t="s">
        <v>885</v>
      </c>
      <c r="H76" s="6" t="s">
        <v>642</v>
      </c>
      <c r="I76" s="26" t="n">
        <v>13</v>
      </c>
      <c r="J76" s="26" t="n">
        <f aca="false">COUNTIFS('Control Library'!$A$5:$A$50,"AI-CTRL-009",'Control Library'!$R$5:$R$50,"Implemented")+COUNTIFS('Control Library'!$A$5:$A$50,"AI-CTRL-014",'Control Library'!$R$5:$R$50,"Implemented")+COUNTIFS('Control Library'!$A$5:$A$50,"AI-CTRL-016",'Control Library'!$R$5:$R$50,"Implemented")+COUNTIFS('Control Library'!$A$5:$A$50,"AI-CTRL-019",'Control Library'!$R$5:$R$50,"Implemented")+COUNTIFS('Control Library'!$A$5:$A$50,"AI-CTRL-024",'Control Library'!$R$5:$R$50,"Implemented")+COUNTIFS('Control Library'!$A$5:$A$50,"AI-CTRL-028",'Control Library'!$R$5:$R$50,"Implemented")+COUNTIFS('Control Library'!$A$5:$A$50,"AI-CTRL-029",'Control Library'!$R$5:$R$50,"Implemented")+COUNTIFS('Control Library'!$A$5:$A$50,"AI-CTRL-030",'Control Library'!$R$5:$R$50,"Implemented")+COUNTIFS('Control Library'!$A$5:$A$50,"AI-CTRL-031",'Control Library'!$R$5:$R$50,"Implemented")+COUNTIFS('Control Library'!$A$5:$A$50,"AI-CTRL-032",'Control Library'!$R$5:$R$50,"Implemented")+COUNTIFS('Control Library'!$A$5:$A$50,"AI-CTRL-033",'Control Library'!$R$5:$R$50,"Implemented")+COUNTIFS('Control Library'!$A$5:$A$50,"AI-CTRL-034",'Control Library'!$R$5:$R$50,"Implemented")+COUNTIFS('Control Library'!$A$5:$A$50,"AI-CTRL-036",'Control Library'!$R$5:$R$50,"Implemented")</f>
        <v>0</v>
      </c>
      <c r="K76" s="43" t="str">
        <f aca="false">IF(I76=0,"No wiki control",IF(J76=I76,"Fully covered",IF(J76=0,"Not covered","Partly covered")))</f>
        <v>Not covered</v>
      </c>
      <c r="L76" s="9" t="s">
        <v>812</v>
      </c>
    </row>
    <row r="77" customFormat="false" ht="68.65" hidden="false" customHeight="false" outlineLevel="0" collapsed="false">
      <c r="A77" s="47" t="s">
        <v>572</v>
      </c>
      <c r="B77" s="47" t="s">
        <v>570</v>
      </c>
      <c r="C77" s="5" t="s">
        <v>886</v>
      </c>
      <c r="D77" s="6" t="s">
        <v>887</v>
      </c>
      <c r="E77" s="6" t="s">
        <v>888</v>
      </c>
      <c r="F77" s="6" t="s">
        <v>640</v>
      </c>
      <c r="G77" s="6" t="s">
        <v>889</v>
      </c>
      <c r="H77" s="6" t="s">
        <v>642</v>
      </c>
      <c r="I77" s="26" t="n">
        <v>16</v>
      </c>
      <c r="J77" s="26" t="n">
        <f aca="false">COUNTIFS('Control Library'!$A$5:$A$50,"AI-CTRL-005",'Control Library'!$R$5:$R$50,"Implemented")+COUNTIFS('Control Library'!$A$5:$A$50,"AI-CTRL-006",'Control Library'!$R$5:$R$50,"Implemented")+COUNTIFS('Control Library'!$A$5:$A$50,"AI-CTRL-015",'Control Library'!$R$5:$R$50,"Implemented")+COUNTIFS('Control Library'!$A$5:$A$50,"AI-CTRL-016",'Control Library'!$R$5:$R$50,"Implemented")+COUNTIFS('Control Library'!$A$5:$A$50,"AI-CTRL-017",'Control Library'!$R$5:$R$50,"Implemented")+COUNTIFS('Control Library'!$A$5:$A$50,"AI-CTRL-018",'Control Library'!$R$5:$R$50,"Implemented")+COUNTIFS('Control Library'!$A$5:$A$50,"AI-CTRL-020",'Control Library'!$R$5:$R$50,"Implemented")+COUNTIFS('Control Library'!$A$5:$A$50,"AI-CTRL-022",'Control Library'!$R$5:$R$50,"Implemented")+COUNTIFS('Control Library'!$A$5:$A$50,"AI-CTRL-023",'Control Library'!$R$5:$R$50,"Implemented")+COUNTIFS('Control Library'!$A$5:$A$50,"AI-CTRL-024",'Control Library'!$R$5:$R$50,"Implemented")+COUNTIFS('Control Library'!$A$5:$A$50,"AI-CTRL-025",'Control Library'!$R$5:$R$50,"Implemented")+COUNTIFS('Control Library'!$A$5:$A$50,"AI-CTRL-026",'Control Library'!$R$5:$R$50,"Implemented")+COUNTIFS('Control Library'!$A$5:$A$50,"AI-CTRL-027",'Control Library'!$R$5:$R$50,"Implemented")+COUNTIFS('Control Library'!$A$5:$A$50,"AI-CTRL-033",'Control Library'!$R$5:$R$50,"Implemented")+COUNTIFS('Control Library'!$A$5:$A$50,"AI-CTRL-034",'Control Library'!$R$5:$R$50,"Implemented")+COUNTIFS('Control Library'!$A$5:$A$50,"AI-CTRL-045",'Control Library'!$R$5:$R$50,"Implemented")</f>
        <v>0</v>
      </c>
      <c r="K77" s="43" t="str">
        <f aca="false">IF(I77=0,"No wiki control",IF(J77=I77,"Fully covered",IF(J77=0,"Not covered","Partly covered")))</f>
        <v>Not covered</v>
      </c>
      <c r="L77" s="9" t="s">
        <v>812</v>
      </c>
    </row>
    <row r="78" customFormat="false" ht="57.45" hidden="false" customHeight="false" outlineLevel="0" collapsed="false">
      <c r="A78" s="47" t="s">
        <v>572</v>
      </c>
      <c r="B78" s="47" t="s">
        <v>570</v>
      </c>
      <c r="C78" s="5" t="s">
        <v>890</v>
      </c>
      <c r="D78" s="6" t="s">
        <v>891</v>
      </c>
      <c r="E78" s="6" t="s">
        <v>892</v>
      </c>
      <c r="F78" s="6" t="s">
        <v>640</v>
      </c>
      <c r="G78" s="6" t="s">
        <v>893</v>
      </c>
      <c r="H78" s="6" t="s">
        <v>642</v>
      </c>
      <c r="I78" s="26" t="n">
        <v>11</v>
      </c>
      <c r="J78" s="26" t="n">
        <f aca="false">COUNTIFS('Control Library'!$A$5:$A$50,"AI-CTRL-004",'Control Library'!$R$5:$R$50,"Implemented")+COUNTIFS('Control Library'!$A$5:$A$50,"AI-CTRL-014",'Control Library'!$R$5:$R$50,"Implemented")+COUNTIFS('Control Library'!$A$5:$A$50,"AI-CTRL-016",'Control Library'!$R$5:$R$50,"Implemented")+COUNTIFS('Control Library'!$A$5:$A$50,"AI-CTRL-019",'Control Library'!$R$5:$R$50,"Implemented")+COUNTIFS('Control Library'!$A$5:$A$50,"AI-CTRL-024",'Control Library'!$R$5:$R$50,"Implemented")+COUNTIFS('Control Library'!$A$5:$A$50,"AI-CTRL-028",'Control Library'!$R$5:$R$50,"Implemented")+COUNTIFS('Control Library'!$A$5:$A$50,"AI-CTRL-029",'Control Library'!$R$5:$R$50,"Implemented")+COUNTIFS('Control Library'!$A$5:$A$50,"AI-CTRL-030",'Control Library'!$R$5:$R$50,"Implemented")+COUNTIFS('Control Library'!$A$5:$A$50,"AI-CTRL-031",'Control Library'!$R$5:$R$50,"Implemented")+COUNTIFS('Control Library'!$A$5:$A$50,"AI-CTRL-032",'Control Library'!$R$5:$R$50,"Implemented")+COUNTIFS('Control Library'!$A$5:$A$50,"AI-CTRL-033",'Control Library'!$R$5:$R$50,"Implemented")</f>
        <v>0</v>
      </c>
      <c r="K78" s="43" t="str">
        <f aca="false">IF(I78=0,"No wiki control",IF(J78=I78,"Fully covered",IF(J78=0,"Not covered","Partly covered")))</f>
        <v>Not covered</v>
      </c>
      <c r="L78" s="9" t="s">
        <v>812</v>
      </c>
    </row>
    <row r="79" customFormat="false" ht="35.05" hidden="false" customHeight="false" outlineLevel="0" collapsed="false">
      <c r="A79" s="47" t="s">
        <v>572</v>
      </c>
      <c r="B79" s="47" t="s">
        <v>570</v>
      </c>
      <c r="C79" s="5" t="s">
        <v>894</v>
      </c>
      <c r="D79" s="6" t="s">
        <v>895</v>
      </c>
      <c r="E79" s="6" t="s">
        <v>896</v>
      </c>
      <c r="F79" s="6" t="s">
        <v>640</v>
      </c>
      <c r="G79" s="6" t="s">
        <v>897</v>
      </c>
      <c r="H79" s="6" t="s">
        <v>642</v>
      </c>
      <c r="I79" s="26" t="n">
        <v>7</v>
      </c>
      <c r="J79" s="26" t="n">
        <f aca="false">COUNTIFS('Control Library'!$A$5:$A$50,"AI-CTRL-011",'Control Library'!$R$5:$R$50,"Implemented")+COUNTIFS('Control Library'!$A$5:$A$50,"AI-CTRL-031",'Control Library'!$R$5:$R$50,"Implemented")+COUNTIFS('Control Library'!$A$5:$A$50,"AI-CTRL-033",'Control Library'!$R$5:$R$50,"Implemented")+COUNTIFS('Control Library'!$A$5:$A$50,"AI-CTRL-034",'Control Library'!$R$5:$R$50,"Implemented")+COUNTIFS('Control Library'!$A$5:$A$50,"AI-CTRL-039",'Control Library'!$R$5:$R$50,"Implemented")+COUNTIFS('Control Library'!$A$5:$A$50,"AI-CTRL-041",'Control Library'!$R$5:$R$50,"Implemented")+COUNTIFS('Control Library'!$A$5:$A$50,"AI-CTRL-045",'Control Library'!$R$5:$R$50,"Implemented")</f>
        <v>0</v>
      </c>
      <c r="K79" s="43" t="str">
        <f aca="false">IF(I79=0,"No wiki control",IF(J79=I79,"Fully covered",IF(J79=0,"Not covered","Partly covered")))</f>
        <v>Not covered</v>
      </c>
      <c r="L79" s="9" t="s">
        <v>812</v>
      </c>
    </row>
    <row r="80" customFormat="false" ht="35.05" hidden="false" customHeight="false" outlineLevel="0" collapsed="false">
      <c r="A80" s="47" t="s">
        <v>572</v>
      </c>
      <c r="B80" s="47" t="s">
        <v>570</v>
      </c>
      <c r="C80" s="5" t="s">
        <v>898</v>
      </c>
      <c r="D80" s="6" t="s">
        <v>899</v>
      </c>
      <c r="E80" s="6" t="s">
        <v>900</v>
      </c>
      <c r="F80" s="6" t="s">
        <v>640</v>
      </c>
      <c r="G80" s="6" t="s">
        <v>901</v>
      </c>
      <c r="H80" s="6" t="s">
        <v>642</v>
      </c>
      <c r="I80" s="26" t="n">
        <v>6</v>
      </c>
      <c r="J80" s="26" t="n">
        <f aca="false">COUNTIFS('Control Library'!$A$5:$A$50,"AI-CTRL-034",'Control Library'!$R$5:$R$50,"Implemented")+COUNTIFS('Control Library'!$A$5:$A$50,"AI-CTRL-035",'Control Library'!$R$5:$R$50,"Implemented")+COUNTIFS('Control Library'!$A$5:$A$50,"AI-CTRL-039",'Control Library'!$R$5:$R$50,"Implemented")+COUNTIFS('Control Library'!$A$5:$A$50,"AI-CTRL-041",'Control Library'!$R$5:$R$50,"Implemented")+COUNTIFS('Control Library'!$A$5:$A$50,"AI-CTRL-042",'Control Library'!$R$5:$R$50,"Implemented")+COUNTIFS('Control Library'!$A$5:$A$50,"AI-CTRL-045",'Control Library'!$R$5:$R$50,"Implemented")</f>
        <v>0</v>
      </c>
      <c r="K80" s="43" t="str">
        <f aca="false">IF(I80=0,"No wiki control",IF(J80=I80,"Fully covered",IF(J80=0,"Not covered","Partly covered")))</f>
        <v>Not covered</v>
      </c>
      <c r="L80" s="9" t="s">
        <v>812</v>
      </c>
    </row>
    <row r="81" customFormat="false" ht="23.85" hidden="false" customHeight="false" outlineLevel="0" collapsed="false">
      <c r="A81" s="47" t="s">
        <v>572</v>
      </c>
      <c r="B81" s="47" t="s">
        <v>570</v>
      </c>
      <c r="C81" s="5" t="s">
        <v>902</v>
      </c>
      <c r="D81" s="6" t="s">
        <v>903</v>
      </c>
      <c r="E81" s="6" t="s">
        <v>904</v>
      </c>
      <c r="F81" s="6" t="s">
        <v>640</v>
      </c>
      <c r="G81" s="6" t="s">
        <v>905</v>
      </c>
      <c r="H81" s="6" t="s">
        <v>642</v>
      </c>
      <c r="I81" s="26" t="n">
        <v>5</v>
      </c>
      <c r="J81" s="26" t="n">
        <f aca="false">COUNTIFS('Control Library'!$A$5:$A$50,"AI-CTRL-012",'Control Library'!$R$5:$R$50,"Implemented")+COUNTIFS('Control Library'!$A$5:$A$50,"AI-CTRL-023",'Control Library'!$R$5:$R$50,"Implemented")+COUNTIFS('Control Library'!$A$5:$A$50,"AI-CTRL-039",'Control Library'!$R$5:$R$50,"Implemented")+COUNTIFS('Control Library'!$A$5:$A$50,"AI-CTRL-044",'Control Library'!$R$5:$R$50,"Implemented")+COUNTIFS('Control Library'!$A$5:$A$50,"AI-CTRL-045",'Control Library'!$R$5:$R$50,"Implemented")</f>
        <v>0</v>
      </c>
      <c r="K81" s="43" t="str">
        <f aca="false">IF(I81=0,"No wiki control",IF(J81=I81,"Fully covered",IF(J81=0,"Not covered","Partly covered")))</f>
        <v>Not covered</v>
      </c>
      <c r="L81" s="9" t="s">
        <v>812</v>
      </c>
    </row>
    <row r="82" customFormat="false" ht="23.85" hidden="false" customHeight="false" outlineLevel="0" collapsed="false">
      <c r="A82" s="47" t="s">
        <v>572</v>
      </c>
      <c r="B82" s="47" t="s">
        <v>570</v>
      </c>
      <c r="C82" s="5" t="s">
        <v>906</v>
      </c>
      <c r="D82" s="6" t="s">
        <v>907</v>
      </c>
      <c r="E82" s="6" t="s">
        <v>639</v>
      </c>
      <c r="F82" s="6" t="s">
        <v>640</v>
      </c>
      <c r="G82" s="6" t="s">
        <v>641</v>
      </c>
      <c r="H82" s="6" t="s">
        <v>657</v>
      </c>
      <c r="I82" s="26" t="n">
        <v>4</v>
      </c>
      <c r="J82" s="26" t="n">
        <f aca="false">COUNTIFS('Control Library'!$A$5:$A$50,"AI-CTRL-039",'Control Library'!$R$5:$R$50,"Implemented")+COUNTIFS('Control Library'!$A$5:$A$50,"AI-CTRL-041",'Control Library'!$R$5:$R$50,"Implemented")+COUNTIFS('Control Library'!$A$5:$A$50,"AI-CTRL-042",'Control Library'!$R$5:$R$50,"Implemented")+COUNTIFS('Control Library'!$A$5:$A$50,"AI-CTRL-045",'Control Library'!$R$5:$R$50,"Implemented")</f>
        <v>0</v>
      </c>
      <c r="K82" s="43" t="str">
        <f aca="false">IF(I82=0,"No wiki control",IF(J82=I82,"Fully covered",IF(J82=0,"Not covered","Partly covered")))</f>
        <v>Not covered</v>
      </c>
      <c r="L82" s="9" t="s">
        <v>812</v>
      </c>
    </row>
    <row r="83" customFormat="false" ht="46.25" hidden="false" customHeight="false" outlineLevel="0" collapsed="false">
      <c r="A83" s="47" t="s">
        <v>572</v>
      </c>
      <c r="B83" s="47" t="s">
        <v>570</v>
      </c>
      <c r="C83" s="5" t="s">
        <v>908</v>
      </c>
      <c r="D83" s="6" t="s">
        <v>909</v>
      </c>
      <c r="E83" s="6" t="s">
        <v>910</v>
      </c>
      <c r="F83" s="6" t="s">
        <v>640</v>
      </c>
      <c r="G83" s="6" t="s">
        <v>911</v>
      </c>
      <c r="H83" s="6" t="s">
        <v>657</v>
      </c>
      <c r="I83" s="26" t="n">
        <v>10</v>
      </c>
      <c r="J83" s="26" t="n">
        <f aca="false">COUNTIFS('Control Library'!$A$5:$A$50,"AI-CTRL-012",'Control Library'!$R$5:$R$50,"Implemented")+COUNTIFS('Control Library'!$A$5:$A$50,"AI-CTRL-013",'Control Library'!$R$5:$R$50,"Implemented")+COUNTIFS('Control Library'!$A$5:$A$50,"AI-CTRL-014",'Control Library'!$R$5:$R$50,"Implemented")+COUNTIFS('Control Library'!$A$5:$A$50,"AI-CTRL-020",'Control Library'!$R$5:$R$50,"Implemented")+COUNTIFS('Control Library'!$A$5:$A$50,"AI-CTRL-031",'Control Library'!$R$5:$R$50,"Implemented")+COUNTIFS('Control Library'!$A$5:$A$50,"AI-CTRL-033",'Control Library'!$R$5:$R$50,"Implemented")+COUNTIFS('Control Library'!$A$5:$A$50,"AI-CTRL-034",'Control Library'!$R$5:$R$50,"Implemented")+COUNTIFS('Control Library'!$A$5:$A$50,"AI-CTRL-039",'Control Library'!$R$5:$R$50,"Implemented")+COUNTIFS('Control Library'!$A$5:$A$50,"AI-CTRL-040",'Control Library'!$R$5:$R$50,"Implemented")+COUNTIFS('Control Library'!$A$5:$A$50,"AI-CTRL-045",'Control Library'!$R$5:$R$50,"Implemented")</f>
        <v>0</v>
      </c>
      <c r="K83" s="43" t="str">
        <f aca="false">IF(I83=0,"No wiki control",IF(J83=I83,"Fully covered",IF(J83=0,"Not covered","Partly covered")))</f>
        <v>Not covered</v>
      </c>
      <c r="L83" s="9" t="s">
        <v>812</v>
      </c>
    </row>
    <row r="84" customFormat="false" ht="23.85" hidden="false" customHeight="false" outlineLevel="0" collapsed="false">
      <c r="A84" s="47" t="s">
        <v>572</v>
      </c>
      <c r="B84" s="47" t="s">
        <v>570</v>
      </c>
      <c r="C84" s="5" t="s">
        <v>912</v>
      </c>
      <c r="D84" s="6" t="s">
        <v>913</v>
      </c>
      <c r="E84" s="6" t="s">
        <v>914</v>
      </c>
      <c r="F84" s="6" t="s">
        <v>640</v>
      </c>
      <c r="G84" s="6" t="s">
        <v>915</v>
      </c>
      <c r="H84" s="6" t="s">
        <v>642</v>
      </c>
      <c r="I84" s="26" t="n">
        <v>3</v>
      </c>
      <c r="J84" s="26" t="n">
        <f aca="false">COUNTIFS('Control Library'!$A$5:$A$50,"AI-CTRL-025",'Control Library'!$R$5:$R$50,"Implemented")+COUNTIFS('Control Library'!$A$5:$A$50,"AI-CTRL-036",'Control Library'!$R$5:$R$50,"Implemented")+COUNTIFS('Control Library'!$A$5:$A$50,"AI-CTRL-040",'Control Library'!$R$5:$R$50,"Implemented")</f>
        <v>0</v>
      </c>
      <c r="K84" s="43" t="str">
        <f aca="false">IF(I84=0,"No wiki control",IF(J84=I84,"Fully covered",IF(J84=0,"Not covered","Partly covered")))</f>
        <v>Not covered</v>
      </c>
      <c r="L84" s="9" t="s">
        <v>812</v>
      </c>
    </row>
    <row r="85" customFormat="false" ht="35.05" hidden="false" customHeight="false" outlineLevel="0" collapsed="false">
      <c r="A85" s="47" t="s">
        <v>572</v>
      </c>
      <c r="B85" s="47" t="s">
        <v>570</v>
      </c>
      <c r="C85" s="5" t="s">
        <v>916</v>
      </c>
      <c r="D85" s="6" t="s">
        <v>917</v>
      </c>
      <c r="E85" s="6" t="s">
        <v>646</v>
      </c>
      <c r="F85" s="6" t="s">
        <v>640</v>
      </c>
      <c r="G85" s="6" t="s">
        <v>918</v>
      </c>
      <c r="H85" s="6" t="s">
        <v>642</v>
      </c>
      <c r="I85" s="26" t="n">
        <v>5</v>
      </c>
      <c r="J85" s="26" t="n">
        <f aca="false">COUNTIFS('Control Library'!$A$5:$A$50,"AI-CTRL-014",'Control Library'!$R$5:$R$50,"Implemented")+COUNTIFS('Control Library'!$A$5:$A$50,"AI-CTRL-031",'Control Library'!$R$5:$R$50,"Implemented")+COUNTIFS('Control Library'!$A$5:$A$50,"AI-CTRL-033",'Control Library'!$R$5:$R$50,"Implemented")+COUNTIFS('Control Library'!$A$5:$A$50,"AI-CTRL-034",'Control Library'!$R$5:$R$50,"Implemented")+COUNTIFS('Control Library'!$A$5:$A$50,"AI-CTRL-040",'Control Library'!$R$5:$R$50,"Implemented")</f>
        <v>0</v>
      </c>
      <c r="K85" s="43" t="str">
        <f aca="false">IF(I85=0,"No wiki control",IF(J85=I85,"Fully covered",IF(J85=0,"Not covered","Partly covered")))</f>
        <v>Not covered</v>
      </c>
      <c r="L85" s="9" t="s">
        <v>812</v>
      </c>
    </row>
    <row r="86" customFormat="false" ht="23.85" hidden="false" customHeight="false" outlineLevel="0" collapsed="false">
      <c r="A86" s="47" t="s">
        <v>572</v>
      </c>
      <c r="B86" s="47" t="s">
        <v>570</v>
      </c>
      <c r="C86" s="5" t="s">
        <v>919</v>
      </c>
      <c r="D86" s="6" t="s">
        <v>920</v>
      </c>
      <c r="E86" s="6" t="s">
        <v>921</v>
      </c>
      <c r="F86" s="6" t="s">
        <v>640</v>
      </c>
      <c r="G86" s="6" t="s">
        <v>922</v>
      </c>
      <c r="H86" s="6" t="s">
        <v>642</v>
      </c>
      <c r="I86" s="26" t="n">
        <v>5</v>
      </c>
      <c r="J86" s="26" t="n">
        <f aca="false">COUNTIFS('Control Library'!$A$5:$A$50,"AI-CTRL-008",'Control Library'!$R$5:$R$50,"Implemented")+COUNTIFS('Control Library'!$A$5:$A$50,"AI-CTRL-009",'Control Library'!$R$5:$R$50,"Implemented")+COUNTIFS('Control Library'!$A$5:$A$50,"AI-CTRL-035",'Control Library'!$R$5:$R$50,"Implemented")+COUNTIFS('Control Library'!$A$5:$A$50,"AI-CTRL-038",'Control Library'!$R$5:$R$50,"Implemented")+COUNTIFS('Control Library'!$A$5:$A$50,"AI-CTRL-043",'Control Library'!$R$5:$R$50,"Implemented")</f>
        <v>0</v>
      </c>
      <c r="K86" s="43" t="str">
        <f aca="false">IF(I86=0,"No wiki control",IF(J86=I86,"Fully covered",IF(J86=0,"Not covered","Partly covered")))</f>
        <v>Not covered</v>
      </c>
      <c r="L86" s="9" t="s">
        <v>812</v>
      </c>
    </row>
    <row r="87" customFormat="false" ht="57.45" hidden="false" customHeight="false" outlineLevel="0" collapsed="false">
      <c r="A87" s="47" t="s">
        <v>572</v>
      </c>
      <c r="B87" s="47" t="s">
        <v>570</v>
      </c>
      <c r="C87" s="5" t="s">
        <v>923</v>
      </c>
      <c r="D87" s="6" t="s">
        <v>924</v>
      </c>
      <c r="E87" s="6" t="s">
        <v>925</v>
      </c>
      <c r="F87" s="6" t="s">
        <v>640</v>
      </c>
      <c r="G87" s="6" t="s">
        <v>926</v>
      </c>
      <c r="H87" s="6" t="s">
        <v>642</v>
      </c>
      <c r="I87" s="26" t="n">
        <v>13</v>
      </c>
      <c r="J87" s="26" t="n">
        <f aca="false">COUNTIFS('Control Library'!$A$5:$A$50,"AI-CTRL-001",'Control Library'!$R$5:$R$50,"Implemented")+COUNTIFS('Control Library'!$A$5:$A$50,"AI-CTRL-008",'Control Library'!$R$5:$R$50,"Implemented")+COUNTIFS('Control Library'!$A$5:$A$50,"AI-CTRL-010",'Control Library'!$R$5:$R$50,"Implemented")+COUNTIFS('Control Library'!$A$5:$A$50,"AI-CTRL-011",'Control Library'!$R$5:$R$50,"Implemented")+COUNTIFS('Control Library'!$A$5:$A$50,"AI-CTRL-012",'Control Library'!$R$5:$R$50,"Implemented")+COUNTIFS('Control Library'!$A$5:$A$50,"AI-CTRL-014",'Control Library'!$R$5:$R$50,"Implemented")+COUNTIFS('Control Library'!$A$5:$A$50,"AI-CTRL-030",'Control Library'!$R$5:$R$50,"Implemented")+COUNTIFS('Control Library'!$A$5:$A$50,"AI-CTRL-031",'Control Library'!$R$5:$R$50,"Implemented")+COUNTIFS('Control Library'!$A$5:$A$50,"AI-CTRL-033",'Control Library'!$R$5:$R$50,"Implemented")+COUNTIFS('Control Library'!$A$5:$A$50,"AI-CTRL-034",'Control Library'!$R$5:$R$50,"Implemented")+COUNTIFS('Control Library'!$A$5:$A$50,"AI-CTRL-037",'Control Library'!$R$5:$R$50,"Implemented")+COUNTIFS('Control Library'!$A$5:$A$50,"AI-CTRL-040",'Control Library'!$R$5:$R$50,"Implemented")+COUNTIFS('Control Library'!$A$5:$A$50,"AI-CTRL-044",'Control Library'!$R$5:$R$50,"Implemented")</f>
        <v>0</v>
      </c>
      <c r="K87" s="43" t="str">
        <f aca="false">IF(I87=0,"No wiki control",IF(J87=I87,"Fully covered",IF(J87=0,"Not covered","Partly covered")))</f>
        <v>Not covered</v>
      </c>
      <c r="L87" s="9" t="s">
        <v>812</v>
      </c>
    </row>
    <row r="88" customFormat="false" ht="35.05" hidden="false" customHeight="false" outlineLevel="0" collapsed="false">
      <c r="A88" s="47" t="s">
        <v>572</v>
      </c>
      <c r="B88" s="47" t="s">
        <v>570</v>
      </c>
      <c r="C88" s="5" t="s">
        <v>927</v>
      </c>
      <c r="D88" s="6" t="s">
        <v>928</v>
      </c>
      <c r="E88" s="6" t="s">
        <v>929</v>
      </c>
      <c r="F88" s="6" t="s">
        <v>640</v>
      </c>
      <c r="G88" s="6" t="s">
        <v>930</v>
      </c>
      <c r="H88" s="6" t="s">
        <v>642</v>
      </c>
      <c r="I88" s="26" t="n">
        <v>6</v>
      </c>
      <c r="J88" s="26" t="n">
        <f aca="false">COUNTIFS('Control Library'!$A$5:$A$50,"AI-CTRL-008",'Control Library'!$R$5:$R$50,"Implemented")+COUNTIFS('Control Library'!$A$5:$A$50,"AI-CTRL-009",'Control Library'!$R$5:$R$50,"Implemented")+COUNTIFS('Control Library'!$A$5:$A$50,"AI-CTRL-015",'Control Library'!$R$5:$R$50,"Implemented")+COUNTIFS('Control Library'!$A$5:$A$50,"AI-CTRL-035",'Control Library'!$R$5:$R$50,"Implemented")+COUNTIFS('Control Library'!$A$5:$A$50,"AI-CTRL-038",'Control Library'!$R$5:$R$50,"Implemented")+COUNTIFS('Control Library'!$A$5:$A$50,"AI-CTRL-043",'Control Library'!$R$5:$R$50,"Implemented")</f>
        <v>0</v>
      </c>
      <c r="K88" s="43" t="str">
        <f aca="false">IF(I88=0,"No wiki control",IF(J88=I88,"Fully covered",IF(J88=0,"Not covered","Partly covered")))</f>
        <v>Not covered</v>
      </c>
      <c r="L88" s="9" t="s">
        <v>812</v>
      </c>
    </row>
    <row r="89" customFormat="false" ht="23.85" hidden="false" customHeight="false" outlineLevel="0" collapsed="false">
      <c r="A89" s="47" t="s">
        <v>572</v>
      </c>
      <c r="B89" s="47" t="s">
        <v>570</v>
      </c>
      <c r="C89" s="5" t="s">
        <v>931</v>
      </c>
      <c r="D89" s="6" t="s">
        <v>932</v>
      </c>
      <c r="E89" s="6" t="s">
        <v>282</v>
      </c>
      <c r="F89" s="6" t="s">
        <v>730</v>
      </c>
      <c r="G89" s="6" t="s">
        <v>933</v>
      </c>
      <c r="H89" s="6" t="s">
        <v>657</v>
      </c>
      <c r="I89" s="26" t="n">
        <v>1</v>
      </c>
      <c r="J89" s="26" t="n">
        <f aca="false">COUNTIFS('Control Library'!$A$5:$A$50,"AI-CTRL-014",'Control Library'!$R$5:$R$50,"Implemented")</f>
        <v>0</v>
      </c>
      <c r="K89" s="43" t="str">
        <f aca="false">IF(I89=0,"No wiki control",IF(J89=I89,"Fully covered",IF(J89=0,"Not covered","Partly covered")))</f>
        <v>Not covered</v>
      </c>
      <c r="L89" s="9" t="s">
        <v>812</v>
      </c>
    </row>
    <row r="90" customFormat="false" ht="35.05" hidden="false" customHeight="false" outlineLevel="0" collapsed="false">
      <c r="A90" s="47" t="s">
        <v>572</v>
      </c>
      <c r="B90" s="47" t="s">
        <v>570</v>
      </c>
      <c r="C90" s="5" t="s">
        <v>934</v>
      </c>
      <c r="D90" s="6" t="s">
        <v>935</v>
      </c>
      <c r="E90" s="6" t="s">
        <v>936</v>
      </c>
      <c r="F90" s="6" t="s">
        <v>640</v>
      </c>
      <c r="G90" s="6" t="s">
        <v>224</v>
      </c>
      <c r="H90" s="6" t="s">
        <v>642</v>
      </c>
      <c r="I90" s="26" t="n">
        <v>6</v>
      </c>
      <c r="J90" s="26" t="n">
        <f aca="false">COUNTIFS('Control Library'!$A$5:$A$50,"AI-CTRL-007",'Control Library'!$R$5:$R$50,"Implemented")+COUNTIFS('Control Library'!$A$5:$A$50,"AI-CTRL-013",'Control Library'!$R$5:$R$50,"Implemented")+COUNTIFS('Control Library'!$A$5:$A$50,"AI-CTRL-014",'Control Library'!$R$5:$R$50,"Implemented")+COUNTIFS('Control Library'!$A$5:$A$50,"AI-CTRL-032",'Control Library'!$R$5:$R$50,"Implemented")+COUNTIFS('Control Library'!$A$5:$A$50,"AI-CTRL-042",'Control Library'!$R$5:$R$50,"Implemented")+COUNTIFS('Control Library'!$A$5:$A$50,"AI-CTRL-043",'Control Library'!$R$5:$R$50,"Implemented")</f>
        <v>0</v>
      </c>
      <c r="K90" s="43" t="str">
        <f aca="false">IF(I90=0,"No wiki control",IF(J90=I90,"Fully covered",IF(J90=0,"Not covered","Partly covered")))</f>
        <v>Not covered</v>
      </c>
      <c r="L90" s="9" t="s">
        <v>812</v>
      </c>
    </row>
    <row r="91" customFormat="false" ht="46.25" hidden="false" customHeight="false" outlineLevel="0" collapsed="false">
      <c r="A91" s="47" t="s">
        <v>572</v>
      </c>
      <c r="B91" s="47" t="s">
        <v>570</v>
      </c>
      <c r="C91" s="5" t="s">
        <v>937</v>
      </c>
      <c r="D91" s="6" t="s">
        <v>938</v>
      </c>
      <c r="E91" s="6" t="s">
        <v>939</v>
      </c>
      <c r="F91" s="6" t="s">
        <v>640</v>
      </c>
      <c r="G91" s="6" t="s">
        <v>940</v>
      </c>
      <c r="H91" s="6" t="s">
        <v>642</v>
      </c>
      <c r="I91" s="26" t="n">
        <v>10</v>
      </c>
      <c r="J91" s="26" t="n">
        <f aca="false">COUNTIFS('Control Library'!$A$5:$A$50,"AI-CTRL-002",'Control Library'!$R$5:$R$50,"Implemented")+COUNTIFS('Control Library'!$A$5:$A$50,"AI-CTRL-003",'Control Library'!$R$5:$R$50,"Implemented")+COUNTIFS('Control Library'!$A$5:$A$50,"AI-CTRL-012",'Control Library'!$R$5:$R$50,"Implemented")+COUNTIFS('Control Library'!$A$5:$A$50,"AI-CTRL-013",'Control Library'!$R$5:$R$50,"Implemented")+COUNTIFS('Control Library'!$A$5:$A$50,"AI-CTRL-014",'Control Library'!$R$5:$R$50,"Implemented")+COUNTIFS('Control Library'!$A$5:$A$50,"AI-CTRL-031",'Control Library'!$R$5:$R$50,"Implemented")+COUNTIFS('Control Library'!$A$5:$A$50,"AI-CTRL-037",'Control Library'!$R$5:$R$50,"Implemented")+COUNTIFS('Control Library'!$A$5:$A$50,"AI-CTRL-042",'Control Library'!$R$5:$R$50,"Implemented")+COUNTIFS('Control Library'!$A$5:$A$50,"AI-CTRL-045",'Control Library'!$R$5:$R$50,"Implemented")+COUNTIFS('Control Library'!$A$5:$A$50,"AI-CTRL-046",'Control Library'!$R$5:$R$50,"Implemented")</f>
        <v>0</v>
      </c>
      <c r="K91" s="43" t="str">
        <f aca="false">IF(I91=0,"No wiki control",IF(J91=I91,"Fully covered",IF(J91=0,"Not covered","Partly covered")))</f>
        <v>Not covered</v>
      </c>
      <c r="L91" s="9" t="s">
        <v>812</v>
      </c>
    </row>
    <row r="92" customFormat="false" ht="35.05" hidden="false" customHeight="false" outlineLevel="0" collapsed="false">
      <c r="A92" s="47" t="s">
        <v>572</v>
      </c>
      <c r="B92" s="47" t="s">
        <v>570</v>
      </c>
      <c r="C92" s="5" t="s">
        <v>941</v>
      </c>
      <c r="D92" s="6" t="s">
        <v>942</v>
      </c>
      <c r="E92" s="6" t="s">
        <v>943</v>
      </c>
      <c r="F92" s="6" t="s">
        <v>640</v>
      </c>
      <c r="G92" s="6" t="s">
        <v>944</v>
      </c>
      <c r="H92" s="6" t="s">
        <v>642</v>
      </c>
      <c r="I92" s="26" t="n">
        <v>7</v>
      </c>
      <c r="J92" s="26" t="n">
        <f aca="false">COUNTIFS('Control Library'!$A$5:$A$50,"AI-CTRL-011",'Control Library'!$R$5:$R$50,"Implemented")+COUNTIFS('Control Library'!$A$5:$A$50,"AI-CTRL-012",'Control Library'!$R$5:$R$50,"Implemented")+COUNTIFS('Control Library'!$A$5:$A$50,"AI-CTRL-013",'Control Library'!$R$5:$R$50,"Implemented")+COUNTIFS('Control Library'!$A$5:$A$50,"AI-CTRL-037",'Control Library'!$R$5:$R$50,"Implemented")+COUNTIFS('Control Library'!$A$5:$A$50,"AI-CTRL-038",'Control Library'!$R$5:$R$50,"Implemented")+COUNTIFS('Control Library'!$A$5:$A$50,"AI-CTRL-042",'Control Library'!$R$5:$R$50,"Implemented")+COUNTIFS('Control Library'!$A$5:$A$50,"AI-CTRL-045",'Control Library'!$R$5:$R$50,"Implemented")</f>
        <v>0</v>
      </c>
      <c r="K92" s="43" t="str">
        <f aca="false">IF(I92=0,"No wiki control",IF(J92=I92,"Fully covered",IF(J92=0,"Not covered","Partly covered")))</f>
        <v>Not covered</v>
      </c>
      <c r="L92" s="9" t="s">
        <v>812</v>
      </c>
    </row>
    <row r="93" customFormat="false" ht="23.85" hidden="false" customHeight="false" outlineLevel="0" collapsed="false">
      <c r="A93" s="47" t="s">
        <v>572</v>
      </c>
      <c r="B93" s="47" t="s">
        <v>570</v>
      </c>
      <c r="C93" s="5" t="s">
        <v>945</v>
      </c>
      <c r="D93" s="6" t="s">
        <v>946</v>
      </c>
      <c r="E93" s="6" t="s">
        <v>947</v>
      </c>
      <c r="F93" s="6" t="s">
        <v>640</v>
      </c>
      <c r="G93" s="6" t="s">
        <v>948</v>
      </c>
      <c r="H93" s="6" t="s">
        <v>642</v>
      </c>
      <c r="I93" s="26" t="n">
        <v>5</v>
      </c>
      <c r="J93" s="26" t="n">
        <f aca="false">COUNTIFS('Control Library'!$A$5:$A$50,"AI-CTRL-011",'Control Library'!$R$5:$R$50,"Implemented")+COUNTIFS('Control Library'!$A$5:$A$50,"AI-CTRL-014",'Control Library'!$R$5:$R$50,"Implemented")+COUNTIFS('Control Library'!$A$5:$A$50,"AI-CTRL-031",'Control Library'!$R$5:$R$50,"Implemented")+COUNTIFS('Control Library'!$A$5:$A$50,"AI-CTRL-034",'Control Library'!$R$5:$R$50,"Implemented")+COUNTIFS('Control Library'!$A$5:$A$50,"AI-CTRL-040",'Control Library'!$R$5:$R$50,"Implemented")</f>
        <v>0</v>
      </c>
      <c r="K93" s="43" t="str">
        <f aca="false">IF(I93=0,"No wiki control",IF(J93=I93,"Fully covered",IF(J93=0,"Not covered","Partly covered")))</f>
        <v>Not covered</v>
      </c>
      <c r="L93" s="9" t="s">
        <v>812</v>
      </c>
    </row>
    <row r="94" customFormat="false" ht="23.85" hidden="false" customHeight="false" outlineLevel="0" collapsed="false">
      <c r="A94" s="47" t="s">
        <v>572</v>
      </c>
      <c r="B94" s="47" t="s">
        <v>570</v>
      </c>
      <c r="C94" s="5" t="s">
        <v>949</v>
      </c>
      <c r="D94" s="6" t="s">
        <v>950</v>
      </c>
      <c r="E94" s="6" t="s">
        <v>951</v>
      </c>
      <c r="F94" s="6" t="s">
        <v>640</v>
      </c>
      <c r="G94" s="6" t="s">
        <v>952</v>
      </c>
      <c r="H94" s="6" t="s">
        <v>642</v>
      </c>
      <c r="I94" s="26" t="n">
        <v>3</v>
      </c>
      <c r="J94" s="26" t="n">
        <f aca="false">COUNTIFS('Control Library'!$A$5:$A$50,"AI-CTRL-014",'Control Library'!$R$5:$R$50,"Implemented")+COUNTIFS('Control Library'!$A$5:$A$50,"AI-CTRL-031",'Control Library'!$R$5:$R$50,"Implemented")+COUNTIFS('Control Library'!$A$5:$A$50,"AI-CTRL-040",'Control Library'!$R$5:$R$50,"Implemented")</f>
        <v>0</v>
      </c>
      <c r="K94" s="43" t="str">
        <f aca="false">IF(I94=0,"No wiki control",IF(J94=I94,"Fully covered",IF(J94=0,"Not covered","Partly covered")))</f>
        <v>Not covered</v>
      </c>
      <c r="L94" s="9" t="s">
        <v>812</v>
      </c>
    </row>
    <row r="95" customFormat="false" ht="57.45" hidden="false" customHeight="false" outlineLevel="0" collapsed="false">
      <c r="A95" s="47" t="s">
        <v>572</v>
      </c>
      <c r="B95" s="47" t="s">
        <v>570</v>
      </c>
      <c r="C95" s="5" t="s">
        <v>953</v>
      </c>
      <c r="D95" s="6" t="s">
        <v>954</v>
      </c>
      <c r="E95" s="6" t="s">
        <v>955</v>
      </c>
      <c r="F95" s="6" t="s">
        <v>640</v>
      </c>
      <c r="G95" s="6" t="s">
        <v>956</v>
      </c>
      <c r="H95" s="6" t="s">
        <v>642</v>
      </c>
      <c r="I95" s="26" t="n">
        <v>11</v>
      </c>
      <c r="J95" s="26" t="n">
        <f aca="false">COUNTIFS('Control Library'!$A$5:$A$50,"AI-CTRL-014",'Control Library'!$R$5:$R$50,"Implemented")+COUNTIFS('Control Library'!$A$5:$A$50,"AI-CTRL-016",'Control Library'!$R$5:$R$50,"Implemented")+COUNTIFS('Control Library'!$A$5:$A$50,"AI-CTRL-019",'Control Library'!$R$5:$R$50,"Implemented")+COUNTIFS('Control Library'!$A$5:$A$50,"AI-CTRL-024",'Control Library'!$R$5:$R$50,"Implemented")+COUNTIFS('Control Library'!$A$5:$A$50,"AI-CTRL-028",'Control Library'!$R$5:$R$50,"Implemented")+COUNTIFS('Control Library'!$A$5:$A$50,"AI-CTRL-029",'Control Library'!$R$5:$R$50,"Implemented")+COUNTIFS('Control Library'!$A$5:$A$50,"AI-CTRL-030",'Control Library'!$R$5:$R$50,"Implemented")+COUNTIFS('Control Library'!$A$5:$A$50,"AI-CTRL-031",'Control Library'!$R$5:$R$50,"Implemented")+COUNTIFS('Control Library'!$A$5:$A$50,"AI-CTRL-032",'Control Library'!$R$5:$R$50,"Implemented")+COUNTIFS('Control Library'!$A$5:$A$50,"AI-CTRL-033",'Control Library'!$R$5:$R$50,"Implemented")+COUNTIFS('Control Library'!$A$5:$A$50,"AI-CTRL-034",'Control Library'!$R$5:$R$50,"Implemented")</f>
        <v>0</v>
      </c>
      <c r="K95" s="43" t="str">
        <f aca="false">IF(I95=0,"No wiki control",IF(J95=I95,"Fully covered",IF(J95=0,"Not covered","Partly covered")))</f>
        <v>Not covered</v>
      </c>
      <c r="L95" s="9" t="s">
        <v>812</v>
      </c>
    </row>
    <row r="96" customFormat="false" ht="23.85" hidden="false" customHeight="false" outlineLevel="0" collapsed="false">
      <c r="A96" s="47" t="s">
        <v>572</v>
      </c>
      <c r="B96" s="47" t="s">
        <v>570</v>
      </c>
      <c r="C96" s="5" t="s">
        <v>957</v>
      </c>
      <c r="D96" s="6" t="s">
        <v>958</v>
      </c>
      <c r="E96" s="6" t="s">
        <v>282</v>
      </c>
      <c r="F96" s="6" t="s">
        <v>730</v>
      </c>
      <c r="G96" s="6" t="s">
        <v>959</v>
      </c>
      <c r="H96" s="6" t="s">
        <v>657</v>
      </c>
      <c r="I96" s="26" t="n">
        <v>1</v>
      </c>
      <c r="J96" s="26" t="n">
        <f aca="false">COUNTIFS('Control Library'!$A$5:$A$50,"AI-CTRL-014",'Control Library'!$R$5:$R$50,"Implemented")</f>
        <v>0</v>
      </c>
      <c r="K96" s="43" t="str">
        <f aca="false">IF(I96=0,"No wiki control",IF(J96=I96,"Fully covered",IF(J96=0,"Not covered","Partly covered")))</f>
        <v>Not covered</v>
      </c>
      <c r="L96" s="9" t="s">
        <v>812</v>
      </c>
    </row>
    <row r="97" customFormat="false" ht="35.05" hidden="false" customHeight="false" outlineLevel="0" collapsed="false">
      <c r="A97" s="47" t="s">
        <v>572</v>
      </c>
      <c r="B97" s="47" t="s">
        <v>570</v>
      </c>
      <c r="C97" s="5" t="s">
        <v>960</v>
      </c>
      <c r="D97" s="6" t="s">
        <v>961</v>
      </c>
      <c r="E97" s="6" t="s">
        <v>962</v>
      </c>
      <c r="F97" s="6" t="s">
        <v>640</v>
      </c>
      <c r="G97" s="6" t="s">
        <v>963</v>
      </c>
      <c r="H97" s="6" t="s">
        <v>642</v>
      </c>
      <c r="I97" s="26" t="n">
        <v>3</v>
      </c>
      <c r="J97" s="26" t="n">
        <f aca="false">COUNTIFS('Control Library'!$A$5:$A$50,"AI-CTRL-040",'Control Library'!$R$5:$R$50,"Implemented")+COUNTIFS('Control Library'!$A$5:$A$50,"AI-CTRL-044",'Control Library'!$R$5:$R$50,"Implemented")+COUNTIFS('Control Library'!$A$5:$A$50,"AI-CTRL-045",'Control Library'!$R$5:$R$50,"Implemented")</f>
        <v>0</v>
      </c>
      <c r="K97" s="43" t="str">
        <f aca="false">IF(I97=0,"No wiki control",IF(J97=I97,"Fully covered",IF(J97=0,"Not covered","Partly covered")))</f>
        <v>Not covered</v>
      </c>
      <c r="L97" s="9" t="s">
        <v>812</v>
      </c>
    </row>
    <row r="98" customFormat="false" ht="23.85" hidden="false" customHeight="false" outlineLevel="0" collapsed="false">
      <c r="A98" s="47" t="s">
        <v>572</v>
      </c>
      <c r="B98" s="47" t="s">
        <v>570</v>
      </c>
      <c r="C98" s="5" t="s">
        <v>964</v>
      </c>
      <c r="D98" s="6" t="s">
        <v>965</v>
      </c>
      <c r="E98" s="6" t="s">
        <v>966</v>
      </c>
      <c r="F98" s="6" t="s">
        <v>640</v>
      </c>
      <c r="G98" s="6" t="s">
        <v>967</v>
      </c>
      <c r="H98" s="6" t="s">
        <v>642</v>
      </c>
      <c r="I98" s="26" t="n">
        <v>4</v>
      </c>
      <c r="J98" s="26" t="n">
        <f aca="false">COUNTIFS('Control Library'!$A$5:$A$50,"AI-CTRL-012",'Control Library'!$R$5:$R$50,"Implemented")+COUNTIFS('Control Library'!$A$5:$A$50,"AI-CTRL-040",'Control Library'!$R$5:$R$50,"Implemented")+COUNTIFS('Control Library'!$A$5:$A$50,"AI-CTRL-044",'Control Library'!$R$5:$R$50,"Implemented")+COUNTIFS('Control Library'!$A$5:$A$50,"AI-CTRL-045",'Control Library'!$R$5:$R$50,"Implemented")</f>
        <v>0</v>
      </c>
      <c r="K98" s="43" t="str">
        <f aca="false">IF(I98=0,"No wiki control",IF(J98=I98,"Fully covered",IF(J98=0,"Not covered","Partly covered")))</f>
        <v>Not covered</v>
      </c>
      <c r="L98" s="9" t="s">
        <v>812</v>
      </c>
    </row>
    <row r="99" customFormat="false" ht="23.85" hidden="false" customHeight="false" outlineLevel="0" collapsed="false">
      <c r="A99" s="47" t="s">
        <v>572</v>
      </c>
      <c r="B99" s="47" t="s">
        <v>570</v>
      </c>
      <c r="C99" s="5" t="s">
        <v>968</v>
      </c>
      <c r="D99" s="6" t="s">
        <v>969</v>
      </c>
      <c r="E99" s="6" t="s">
        <v>513</v>
      </c>
      <c r="F99" s="6" t="s">
        <v>730</v>
      </c>
      <c r="G99" s="6" t="s">
        <v>970</v>
      </c>
      <c r="H99" s="6" t="s">
        <v>657</v>
      </c>
      <c r="I99" s="26" t="n">
        <v>1</v>
      </c>
      <c r="J99" s="26" t="n">
        <f aca="false">COUNTIFS('Control Library'!$A$5:$A$50,"AI-CTRL-042",'Control Library'!$R$5:$R$50,"Implemented")</f>
        <v>0</v>
      </c>
      <c r="K99" s="43" t="str">
        <f aca="false">IF(I99=0,"No wiki control",IF(J99=I99,"Fully covered",IF(J99=0,"Not covered","Partly covered")))</f>
        <v>Not covered</v>
      </c>
      <c r="L99" s="9" t="s">
        <v>812</v>
      </c>
    </row>
    <row r="100" customFormat="false" ht="23.85" hidden="false" customHeight="false" outlineLevel="0" collapsed="false">
      <c r="A100" s="47" t="s">
        <v>572</v>
      </c>
      <c r="B100" s="47" t="s">
        <v>570</v>
      </c>
      <c r="C100" s="5" t="s">
        <v>971</v>
      </c>
      <c r="D100" s="6" t="s">
        <v>972</v>
      </c>
      <c r="E100" s="6" t="s">
        <v>973</v>
      </c>
      <c r="F100" s="6" t="s">
        <v>640</v>
      </c>
      <c r="G100" s="6" t="s">
        <v>974</v>
      </c>
      <c r="H100" s="6" t="s">
        <v>642</v>
      </c>
      <c r="I100" s="26" t="n">
        <v>2</v>
      </c>
      <c r="J100" s="26" t="n">
        <f aca="false">COUNTIFS('Control Library'!$A$5:$A$50,"AI-CTRL-012",'Control Library'!$R$5:$R$50,"Implemented")+COUNTIFS('Control Library'!$A$5:$A$50,"AI-CTRL-044",'Control Library'!$R$5:$R$50,"Implemented")</f>
        <v>0</v>
      </c>
      <c r="K100" s="43" t="str">
        <f aca="false">IF(I100=0,"No wiki control",IF(J100=I100,"Fully covered",IF(J100=0,"Not covered","Partly covered")))</f>
        <v>Not covered</v>
      </c>
      <c r="L100" s="9" t="s">
        <v>812</v>
      </c>
    </row>
    <row r="101" customFormat="false" ht="23.85" hidden="false" customHeight="false" outlineLevel="0" collapsed="false">
      <c r="A101" s="47" t="s">
        <v>572</v>
      </c>
      <c r="B101" s="47" t="s">
        <v>570</v>
      </c>
      <c r="C101" s="5" t="s">
        <v>975</v>
      </c>
      <c r="D101" s="6" t="s">
        <v>976</v>
      </c>
      <c r="E101" s="6" t="s">
        <v>977</v>
      </c>
      <c r="F101" s="6" t="s">
        <v>640</v>
      </c>
      <c r="G101" s="6" t="s">
        <v>978</v>
      </c>
      <c r="H101" s="6" t="s">
        <v>642</v>
      </c>
      <c r="I101" s="26" t="n">
        <v>4</v>
      </c>
      <c r="J101" s="26" t="n">
        <f aca="false">COUNTIFS('Control Library'!$A$5:$A$50,"AI-CTRL-014",'Control Library'!$R$5:$R$50,"Implemented")+COUNTIFS('Control Library'!$A$5:$A$50,"AI-CTRL-025",'Control Library'!$R$5:$R$50,"Implemented")+COUNTIFS('Control Library'!$A$5:$A$50,"AI-CTRL-036",'Control Library'!$R$5:$R$50,"Implemented")+COUNTIFS('Control Library'!$A$5:$A$50,"AI-CTRL-037",'Control Library'!$R$5:$R$50,"Implemented")</f>
        <v>0</v>
      </c>
      <c r="K101" s="43" t="str">
        <f aca="false">IF(I101=0,"No wiki control",IF(J101=I101,"Fully covered",IF(J101=0,"Not covered","Partly covered")))</f>
        <v>Not covered</v>
      </c>
      <c r="L101" s="9" t="s">
        <v>812</v>
      </c>
    </row>
    <row r="102" customFormat="false" ht="23.85" hidden="false" customHeight="false" outlineLevel="0" collapsed="false">
      <c r="A102" s="47" t="s">
        <v>572</v>
      </c>
      <c r="B102" s="47" t="s">
        <v>570</v>
      </c>
      <c r="C102" s="5" t="s">
        <v>979</v>
      </c>
      <c r="D102" s="6" t="s">
        <v>980</v>
      </c>
      <c r="E102" s="6" t="s">
        <v>981</v>
      </c>
      <c r="F102" s="6" t="s">
        <v>640</v>
      </c>
      <c r="G102" s="6" t="s">
        <v>982</v>
      </c>
      <c r="H102" s="6" t="s">
        <v>642</v>
      </c>
      <c r="I102" s="26" t="n">
        <v>3</v>
      </c>
      <c r="J102" s="26" t="n">
        <f aca="false">COUNTIFS('Control Library'!$A$5:$A$50,"AI-CTRL-014",'Control Library'!$R$5:$R$50,"Implemented")+COUNTIFS('Control Library'!$A$5:$A$50,"AI-CTRL-036",'Control Library'!$R$5:$R$50,"Implemented")+COUNTIFS('Control Library'!$A$5:$A$50,"AI-CTRL-037",'Control Library'!$R$5:$R$50,"Implemented")</f>
        <v>0</v>
      </c>
      <c r="K102" s="43" t="str">
        <f aca="false">IF(I102=0,"No wiki control",IF(J102=I102,"Fully covered",IF(J102=0,"Not covered","Partly covered")))</f>
        <v>Not covered</v>
      </c>
      <c r="L102" s="9" t="s">
        <v>812</v>
      </c>
    </row>
    <row r="103" customFormat="false" ht="35.05" hidden="false" customHeight="false" outlineLevel="0" collapsed="false">
      <c r="A103" s="47" t="s">
        <v>572</v>
      </c>
      <c r="B103" s="47" t="s">
        <v>570</v>
      </c>
      <c r="C103" s="5" t="s">
        <v>983</v>
      </c>
      <c r="D103" s="6" t="s">
        <v>984</v>
      </c>
      <c r="E103" s="6" t="s">
        <v>951</v>
      </c>
      <c r="F103" s="6" t="s">
        <v>640</v>
      </c>
      <c r="G103" s="6" t="s">
        <v>985</v>
      </c>
      <c r="H103" s="6" t="s">
        <v>642</v>
      </c>
      <c r="I103" s="26" t="n">
        <v>3</v>
      </c>
      <c r="J103" s="26" t="n">
        <f aca="false">COUNTIFS('Control Library'!$A$5:$A$50,"AI-CTRL-014",'Control Library'!$R$5:$R$50,"Implemented")+COUNTIFS('Control Library'!$A$5:$A$50,"AI-CTRL-031",'Control Library'!$R$5:$R$50,"Implemented")+COUNTIFS('Control Library'!$A$5:$A$50,"AI-CTRL-040",'Control Library'!$R$5:$R$50,"Implemented")</f>
        <v>0</v>
      </c>
      <c r="K103" s="43" t="str">
        <f aca="false">IF(I103=0,"No wiki control",IF(J103=I103,"Fully covered",IF(J103=0,"Not covered","Partly covered")))</f>
        <v>Not covered</v>
      </c>
      <c r="L103" s="9" t="s">
        <v>812</v>
      </c>
    </row>
    <row r="104" customFormat="false" ht="79.85" hidden="false" customHeight="false" outlineLevel="0" collapsed="false">
      <c r="A104" s="47" t="s">
        <v>572</v>
      </c>
      <c r="B104" s="47" t="s">
        <v>570</v>
      </c>
      <c r="C104" s="5" t="s">
        <v>986</v>
      </c>
      <c r="D104" s="6" t="s">
        <v>987</v>
      </c>
      <c r="E104" s="6" t="s">
        <v>988</v>
      </c>
      <c r="F104" s="6" t="s">
        <v>640</v>
      </c>
      <c r="G104" s="6" t="s">
        <v>989</v>
      </c>
      <c r="H104" s="6" t="s">
        <v>642</v>
      </c>
      <c r="I104" s="26" t="n">
        <v>17</v>
      </c>
      <c r="J104" s="26" t="n">
        <f aca="false">COUNTIFS('Control Library'!$A$5:$A$50,"AI-CTRL-006",'Control Library'!$R$5:$R$50,"Implemented")+COUNTIFS('Control Library'!$A$5:$A$50,"AI-CTRL-008",'Control Library'!$R$5:$R$50,"Implemented")+COUNTIFS('Control Library'!$A$5:$A$50,"AI-CTRL-009",'Control Library'!$R$5:$R$50,"Implemented")+COUNTIFS('Control Library'!$A$5:$A$50,"AI-CTRL-015",'Control Library'!$R$5:$R$50,"Implemented")+COUNTIFS('Control Library'!$A$5:$A$50,"AI-CTRL-016",'Control Library'!$R$5:$R$50,"Implemented")+COUNTIFS('Control Library'!$A$5:$A$50,"AI-CTRL-022",'Control Library'!$R$5:$R$50,"Implemented")+COUNTIFS('Control Library'!$A$5:$A$50,"AI-CTRL-023",'Control Library'!$R$5:$R$50,"Implemented")+COUNTIFS('Control Library'!$A$5:$A$50,"AI-CTRL-024",'Control Library'!$R$5:$R$50,"Implemented")+COUNTIFS('Control Library'!$A$5:$A$50,"AI-CTRL-025",'Control Library'!$R$5:$R$50,"Implemented")+COUNTIFS('Control Library'!$A$5:$A$50,"AI-CTRL-026",'Control Library'!$R$5:$R$50,"Implemented")+COUNTIFS('Control Library'!$A$5:$A$50,"AI-CTRL-027",'Control Library'!$R$5:$R$50,"Implemented")+COUNTIFS('Control Library'!$A$5:$A$50,"AI-CTRL-033",'Control Library'!$R$5:$R$50,"Implemented")+COUNTIFS('Control Library'!$A$5:$A$50,"AI-CTRL-034",'Control Library'!$R$5:$R$50,"Implemented")+COUNTIFS('Control Library'!$A$5:$A$50,"AI-CTRL-035",'Control Library'!$R$5:$R$50,"Implemented")+COUNTIFS('Control Library'!$A$5:$A$50,"AI-CTRL-038",'Control Library'!$R$5:$R$50,"Implemented")+COUNTIFS('Control Library'!$A$5:$A$50,"AI-CTRL-043",'Control Library'!$R$5:$R$50,"Implemented")+COUNTIFS('Control Library'!$A$5:$A$50,"AI-CTRL-045",'Control Library'!$R$5:$R$50,"Implemented")</f>
        <v>0</v>
      </c>
      <c r="K104" s="43" t="str">
        <f aca="false">IF(I104=0,"No wiki control",IF(J104=I104,"Fully covered",IF(J104=0,"Not covered","Partly covered")))</f>
        <v>Not covered</v>
      </c>
      <c r="L104" s="9" t="s">
        <v>812</v>
      </c>
    </row>
    <row r="105" customFormat="false" ht="68.65" hidden="false" customHeight="false" outlineLevel="0" collapsed="false">
      <c r="A105" s="47" t="s">
        <v>572</v>
      </c>
      <c r="B105" s="47" t="s">
        <v>570</v>
      </c>
      <c r="C105" s="5" t="s">
        <v>990</v>
      </c>
      <c r="D105" s="6" t="s">
        <v>991</v>
      </c>
      <c r="E105" s="6" t="s">
        <v>992</v>
      </c>
      <c r="F105" s="6" t="s">
        <v>640</v>
      </c>
      <c r="G105" s="6" t="s">
        <v>359</v>
      </c>
      <c r="H105" s="6" t="s">
        <v>642</v>
      </c>
      <c r="I105" s="26" t="n">
        <v>14</v>
      </c>
      <c r="J105" s="26" t="n">
        <f aca="false">COUNTIFS('Control Library'!$A$5:$A$50,"AI-CTRL-006",'Control Library'!$R$5:$R$50,"Implemented")+COUNTIFS('Control Library'!$A$5:$A$50,"AI-CTRL-012",'Control Library'!$R$5:$R$50,"Implemented")+COUNTIFS('Control Library'!$A$5:$A$50,"AI-CTRL-015",'Control Library'!$R$5:$R$50,"Implemented")+COUNTIFS('Control Library'!$A$5:$A$50,"AI-CTRL-016",'Control Library'!$R$5:$R$50,"Implemented")+COUNTIFS('Control Library'!$A$5:$A$50,"AI-CTRL-022",'Control Library'!$R$5:$R$50,"Implemented")+COUNTIFS('Control Library'!$A$5:$A$50,"AI-CTRL-023",'Control Library'!$R$5:$R$50,"Implemented")+COUNTIFS('Control Library'!$A$5:$A$50,"AI-CTRL-024",'Control Library'!$R$5:$R$50,"Implemented")+COUNTIFS('Control Library'!$A$5:$A$50,"AI-CTRL-025",'Control Library'!$R$5:$R$50,"Implemented")+COUNTIFS('Control Library'!$A$5:$A$50,"AI-CTRL-026",'Control Library'!$R$5:$R$50,"Implemented")+COUNTIFS('Control Library'!$A$5:$A$50,"AI-CTRL-027",'Control Library'!$R$5:$R$50,"Implemented")+COUNTIFS('Control Library'!$A$5:$A$50,"AI-CTRL-033",'Control Library'!$R$5:$R$50,"Implemented")+COUNTIFS('Control Library'!$A$5:$A$50,"AI-CTRL-034",'Control Library'!$R$5:$R$50,"Implemented")+COUNTIFS('Control Library'!$A$5:$A$50,"AI-CTRL-044",'Control Library'!$R$5:$R$50,"Implemented")+COUNTIFS('Control Library'!$A$5:$A$50,"AI-CTRL-045",'Control Library'!$R$5:$R$50,"Implemented")</f>
        <v>0</v>
      </c>
      <c r="K105" s="43" t="str">
        <f aca="false">IF(I105=0,"No wiki control",IF(J105=I105,"Fully covered",IF(J105=0,"Not covered","Partly covered")))</f>
        <v>Not covered</v>
      </c>
      <c r="L105" s="9" t="s">
        <v>812</v>
      </c>
    </row>
    <row r="106" customFormat="false" ht="23.85" hidden="false" customHeight="false" outlineLevel="0" collapsed="false">
      <c r="A106" s="47" t="s">
        <v>572</v>
      </c>
      <c r="B106" s="47" t="s">
        <v>570</v>
      </c>
      <c r="C106" s="5" t="s">
        <v>993</v>
      </c>
      <c r="D106" s="6" t="s">
        <v>994</v>
      </c>
      <c r="E106" s="6" t="s">
        <v>717</v>
      </c>
      <c r="F106" s="6" t="s">
        <v>640</v>
      </c>
      <c r="G106" s="6" t="s">
        <v>718</v>
      </c>
      <c r="H106" s="6" t="s">
        <v>642</v>
      </c>
      <c r="I106" s="26" t="n">
        <v>3</v>
      </c>
      <c r="J106" s="26" t="n">
        <f aca="false">COUNTIFS('Control Library'!$A$5:$A$50,"AI-CTRL-025",'Control Library'!$R$5:$R$50,"Implemented")+COUNTIFS('Control Library'!$A$5:$A$50,"AI-CTRL-026",'Control Library'!$R$5:$R$50,"Implemented")+COUNTIFS('Control Library'!$A$5:$A$50,"AI-CTRL-027",'Control Library'!$R$5:$R$50,"Implemented")</f>
        <v>0</v>
      </c>
      <c r="K106" s="43" t="str">
        <f aca="false">IF(I106=0,"No wiki control",IF(J106=I106,"Fully covered",IF(J106=0,"Not covered","Partly covered")))</f>
        <v>Not covered</v>
      </c>
      <c r="L106" s="9" t="s">
        <v>812</v>
      </c>
    </row>
    <row r="107" customFormat="false" ht="23.85" hidden="false" customHeight="false" outlineLevel="0" collapsed="false">
      <c r="A107" s="47" t="s">
        <v>572</v>
      </c>
      <c r="B107" s="47" t="s">
        <v>570</v>
      </c>
      <c r="C107" s="5" t="s">
        <v>995</v>
      </c>
      <c r="D107" s="6" t="s">
        <v>996</v>
      </c>
      <c r="E107" s="6" t="s">
        <v>678</v>
      </c>
      <c r="F107" s="6" t="s">
        <v>640</v>
      </c>
      <c r="G107" s="6" t="s">
        <v>679</v>
      </c>
      <c r="H107" s="6" t="s">
        <v>642</v>
      </c>
      <c r="I107" s="26" t="n">
        <v>4</v>
      </c>
      <c r="J107" s="26" t="n">
        <f aca="false">COUNTIFS('Control Library'!$A$5:$A$50,"AI-CTRL-006",'Control Library'!$R$5:$R$50,"Implemented")+COUNTIFS('Control Library'!$A$5:$A$50,"AI-CTRL-015",'Control Library'!$R$5:$R$50,"Implemented")+COUNTIFS('Control Library'!$A$5:$A$50,"AI-CTRL-025",'Control Library'!$R$5:$R$50,"Implemented")+COUNTIFS('Control Library'!$A$5:$A$50,"AI-CTRL-027",'Control Library'!$R$5:$R$50,"Implemented")</f>
        <v>0</v>
      </c>
      <c r="K107" s="43" t="str">
        <f aca="false">IF(I107=0,"No wiki control",IF(J107=I107,"Fully covered",IF(J107=0,"Not covered","Partly covered")))</f>
        <v>Not covered</v>
      </c>
      <c r="L107" s="9" t="s">
        <v>812</v>
      </c>
    </row>
    <row r="108" customFormat="false" ht="68.65" hidden="false" customHeight="false" outlineLevel="0" collapsed="false">
      <c r="A108" s="47" t="s">
        <v>572</v>
      </c>
      <c r="B108" s="47" t="s">
        <v>570</v>
      </c>
      <c r="C108" s="5" t="s">
        <v>997</v>
      </c>
      <c r="D108" s="6" t="s">
        <v>998</v>
      </c>
      <c r="E108" s="6" t="s">
        <v>999</v>
      </c>
      <c r="F108" s="6" t="s">
        <v>640</v>
      </c>
      <c r="G108" s="6" t="s">
        <v>1000</v>
      </c>
      <c r="H108" s="6" t="s">
        <v>642</v>
      </c>
      <c r="I108" s="26" t="n">
        <v>14</v>
      </c>
      <c r="J108" s="26" t="n">
        <f aca="false">COUNTIFS('Control Library'!$A$5:$A$50,"AI-CTRL-004",'Control Library'!$R$5:$R$50,"Implemented")+COUNTIFS('Control Library'!$A$5:$A$50,"AI-CTRL-006",'Control Library'!$R$5:$R$50,"Implemented")+COUNTIFS('Control Library'!$A$5:$A$50,"AI-CTRL-015",'Control Library'!$R$5:$R$50,"Implemented")+COUNTIFS('Control Library'!$A$5:$A$50,"AI-CTRL-016",'Control Library'!$R$5:$R$50,"Implemented")+COUNTIFS('Control Library'!$A$5:$A$50,"AI-CTRL-022",'Control Library'!$R$5:$R$50,"Implemented")+COUNTIFS('Control Library'!$A$5:$A$50,"AI-CTRL-023",'Control Library'!$R$5:$R$50,"Implemented")+COUNTIFS('Control Library'!$A$5:$A$50,"AI-CTRL-024",'Control Library'!$R$5:$R$50,"Implemented")+COUNTIFS('Control Library'!$A$5:$A$50,"AI-CTRL-025",'Control Library'!$R$5:$R$50,"Implemented")+COUNTIFS('Control Library'!$A$5:$A$50,"AI-CTRL-026",'Control Library'!$R$5:$R$50,"Implemented")+COUNTIFS('Control Library'!$A$5:$A$50,"AI-CTRL-027",'Control Library'!$R$5:$R$50,"Implemented")+COUNTIFS('Control Library'!$A$5:$A$50,"AI-CTRL-031",'Control Library'!$R$5:$R$50,"Implemented")+COUNTIFS('Control Library'!$A$5:$A$50,"AI-CTRL-033",'Control Library'!$R$5:$R$50,"Implemented")+COUNTIFS('Control Library'!$A$5:$A$50,"AI-CTRL-034",'Control Library'!$R$5:$R$50,"Implemented")+COUNTIFS('Control Library'!$A$5:$A$50,"AI-CTRL-045",'Control Library'!$R$5:$R$50,"Implemented")</f>
        <v>0</v>
      </c>
      <c r="K108" s="43" t="str">
        <f aca="false">IF(I108=0,"No wiki control",IF(J108=I108,"Fully covered",IF(J108=0,"Not covered","Partly covered")))</f>
        <v>Not covered</v>
      </c>
      <c r="L108" s="9" t="s">
        <v>812</v>
      </c>
    </row>
    <row r="109" customFormat="false" ht="23.85" hidden="false" customHeight="false" outlineLevel="0" collapsed="false">
      <c r="A109" s="47" t="s">
        <v>573</v>
      </c>
      <c r="B109" s="47" t="s">
        <v>570</v>
      </c>
      <c r="C109" s="5" t="s">
        <v>1001</v>
      </c>
      <c r="D109" s="6" t="s">
        <v>1002</v>
      </c>
      <c r="E109" s="6" t="s">
        <v>1003</v>
      </c>
      <c r="F109" s="6" t="s">
        <v>730</v>
      </c>
      <c r="G109" s="6" t="s">
        <v>1004</v>
      </c>
      <c r="H109" s="6"/>
      <c r="I109" s="26" t="n">
        <v>4</v>
      </c>
      <c r="J109" s="26" t="n">
        <f aca="false">COUNTIFS('Control Library'!$A$5:$A$50,"AI-CTRL-007",'Control Library'!$R$5:$R$50,"Implemented")+COUNTIFS('Control Library'!$A$5:$A$50,"AI-CTRL-013",'Control Library'!$R$5:$R$50,"Implemented")+COUNTIFS('Control Library'!$A$5:$A$50,"AI-CTRL-042",'Control Library'!$R$5:$R$50,"Implemented")+COUNTIFS('Control Library'!$A$5:$A$50,"AI-CTRL-043",'Control Library'!$R$5:$R$50,"Implemented")</f>
        <v>0</v>
      </c>
      <c r="K109" s="43" t="str">
        <f aca="false">IF(I109=0,"No wiki control",IF(J109=I109,"Fully covered",IF(J109=0,"Not covered","Partly covered")))</f>
        <v>Not covered</v>
      </c>
      <c r="L109" s="9" t="s">
        <v>1005</v>
      </c>
    </row>
    <row r="110" customFormat="false" ht="23.85" hidden="false" customHeight="false" outlineLevel="0" collapsed="false">
      <c r="A110" s="47" t="s">
        <v>573</v>
      </c>
      <c r="B110" s="47" t="s">
        <v>570</v>
      </c>
      <c r="C110" s="5" t="s">
        <v>1006</v>
      </c>
      <c r="D110" s="6" t="s">
        <v>263</v>
      </c>
      <c r="E110" s="6" t="s">
        <v>263</v>
      </c>
      <c r="F110" s="6" t="s">
        <v>730</v>
      </c>
      <c r="G110" s="6" t="s">
        <v>266</v>
      </c>
      <c r="H110" s="6"/>
      <c r="I110" s="26" t="n">
        <v>1</v>
      </c>
      <c r="J110" s="26" t="n">
        <f aca="false">COUNTIFS('Control Library'!$A$5:$A$50,"AI-CTRL-012",'Control Library'!$R$5:$R$50,"Implemented")</f>
        <v>0</v>
      </c>
      <c r="K110" s="43" t="str">
        <f aca="false">IF(I110=0,"No wiki control",IF(J110=I110,"Fully covered",IF(J110=0,"Not covered","Partly covered")))</f>
        <v>Not covered</v>
      </c>
      <c r="L110" s="9" t="s">
        <v>1005</v>
      </c>
    </row>
    <row r="111" customFormat="false" ht="23.85" hidden="false" customHeight="false" outlineLevel="0" collapsed="false">
      <c r="A111" s="47" t="s">
        <v>573</v>
      </c>
      <c r="B111" s="47" t="s">
        <v>570</v>
      </c>
      <c r="C111" s="5" t="s">
        <v>1007</v>
      </c>
      <c r="D111" s="6" t="s">
        <v>1008</v>
      </c>
      <c r="E111" s="6" t="s">
        <v>826</v>
      </c>
      <c r="F111" s="6" t="s">
        <v>730</v>
      </c>
      <c r="G111" s="6" t="s">
        <v>473</v>
      </c>
      <c r="H111" s="6"/>
      <c r="I111" s="26" t="n">
        <v>2</v>
      </c>
      <c r="J111" s="26" t="n">
        <f aca="false">COUNTIFS('Control Library'!$A$5:$A$50,"AI-CTRL-011",'Control Library'!$R$5:$R$50,"Implemented")+COUNTIFS('Control Library'!$A$5:$A$50,"AI-CTRL-037",'Control Library'!$R$5:$R$50,"Implemented")</f>
        <v>0</v>
      </c>
      <c r="K111" s="43" t="str">
        <f aca="false">IF(I111=0,"No wiki control",IF(J111=I111,"Fully covered",IF(J111=0,"Not covered","Partly covered")))</f>
        <v>Not covered</v>
      </c>
      <c r="L111" s="9" t="s">
        <v>1005</v>
      </c>
    </row>
    <row r="112" customFormat="false" ht="23.85" hidden="false" customHeight="false" outlineLevel="0" collapsed="false">
      <c r="A112" s="47" t="s">
        <v>573</v>
      </c>
      <c r="B112" s="47" t="s">
        <v>570</v>
      </c>
      <c r="C112" s="5" t="s">
        <v>1009</v>
      </c>
      <c r="D112" s="6" t="s">
        <v>1010</v>
      </c>
      <c r="E112" s="6" t="s">
        <v>1011</v>
      </c>
      <c r="F112" s="6" t="s">
        <v>730</v>
      </c>
      <c r="G112" s="6" t="s">
        <v>1012</v>
      </c>
      <c r="H112" s="6"/>
      <c r="I112" s="26" t="n">
        <v>2</v>
      </c>
      <c r="J112" s="26" t="n">
        <f aca="false">COUNTIFS('Control Library'!$A$5:$A$50,"AI-CTRL-010",'Control Library'!$R$5:$R$50,"Implemented")+COUNTIFS('Control Library'!$A$5:$A$50,"AI-CTRL-012",'Control Library'!$R$5:$R$50,"Implemented")</f>
        <v>0</v>
      </c>
      <c r="K112" s="43" t="str">
        <f aca="false">IF(I112=0,"No wiki control",IF(J112=I112,"Fully covered",IF(J112=0,"Not covered","Partly covered")))</f>
        <v>Not covered</v>
      </c>
      <c r="L112" s="9" t="s">
        <v>1005</v>
      </c>
    </row>
    <row r="113" customFormat="false" ht="23.85" hidden="false" customHeight="false" outlineLevel="0" collapsed="false">
      <c r="A113" s="47" t="s">
        <v>573</v>
      </c>
      <c r="B113" s="47" t="s">
        <v>570</v>
      </c>
      <c r="C113" s="5" t="s">
        <v>1013</v>
      </c>
      <c r="D113" s="6" t="s">
        <v>478</v>
      </c>
      <c r="E113" s="6" t="s">
        <v>478</v>
      </c>
      <c r="F113" s="6" t="s">
        <v>730</v>
      </c>
      <c r="G113" s="6" t="s">
        <v>481</v>
      </c>
      <c r="H113" s="6"/>
      <c r="I113" s="26" t="n">
        <v>1</v>
      </c>
      <c r="J113" s="26" t="n">
        <f aca="false">COUNTIFS('Control Library'!$A$5:$A$50,"AI-CTRL-038",'Control Library'!$R$5:$R$50,"Implemented")</f>
        <v>0</v>
      </c>
      <c r="K113" s="43" t="str">
        <f aca="false">IF(I113=0,"No wiki control",IF(J113=I113,"Fully covered",IF(J113=0,"Not covered","Partly covered")))</f>
        <v>Not covered</v>
      </c>
      <c r="L113" s="9" t="s">
        <v>1005</v>
      </c>
    </row>
    <row r="114" customFormat="false" ht="23.85" hidden="false" customHeight="false" outlineLevel="0" collapsed="false">
      <c r="A114" s="47" t="s">
        <v>573</v>
      </c>
      <c r="B114" s="47" t="s">
        <v>570</v>
      </c>
      <c r="C114" s="5" t="s">
        <v>1014</v>
      </c>
      <c r="D114" s="6" t="s">
        <v>1015</v>
      </c>
      <c r="E114" s="6" t="s">
        <v>1016</v>
      </c>
      <c r="F114" s="6" t="s">
        <v>730</v>
      </c>
      <c r="G114" s="6" t="s">
        <v>1017</v>
      </c>
      <c r="H114" s="6"/>
      <c r="I114" s="26" t="n">
        <v>3</v>
      </c>
      <c r="J114" s="26" t="n">
        <f aca="false">COUNTIFS('Control Library'!$A$5:$A$50,"AI-CTRL-001",'Control Library'!$R$5:$R$50,"Implemented")+COUNTIFS('Control Library'!$A$5:$A$50,"AI-CTRL-006",'Control Library'!$R$5:$R$50,"Implemented")+COUNTIFS('Control Library'!$A$5:$A$50,"AI-CTRL-011",'Control Library'!$R$5:$R$50,"Implemented")</f>
        <v>0</v>
      </c>
      <c r="K114" s="43" t="str">
        <f aca="false">IF(I114=0,"No wiki control",IF(J114=I114,"Fully covered",IF(J114=0,"Not covered","Partly covered")))</f>
        <v>Not covered</v>
      </c>
      <c r="L114" s="9" t="s">
        <v>1005</v>
      </c>
    </row>
    <row r="115" customFormat="false" ht="23.85" hidden="false" customHeight="false" outlineLevel="0" collapsed="false">
      <c r="A115" s="47" t="s">
        <v>573</v>
      </c>
      <c r="B115" s="47" t="s">
        <v>570</v>
      </c>
      <c r="C115" s="5" t="s">
        <v>1018</v>
      </c>
      <c r="D115" s="6" t="s">
        <v>255</v>
      </c>
      <c r="E115" s="6" t="s">
        <v>255</v>
      </c>
      <c r="F115" s="6" t="s">
        <v>730</v>
      </c>
      <c r="G115" s="6" t="s">
        <v>258</v>
      </c>
      <c r="H115" s="6"/>
      <c r="I115" s="26" t="n">
        <v>1</v>
      </c>
      <c r="J115" s="26" t="n">
        <f aca="false">COUNTIFS('Control Library'!$A$5:$A$50,"AI-CTRL-011",'Control Library'!$R$5:$R$50,"Implemented")</f>
        <v>0</v>
      </c>
      <c r="K115" s="43" t="str">
        <f aca="false">IF(I115=0,"No wiki control",IF(J115=I115,"Fully covered",IF(J115=0,"Not covered","Partly covered")))</f>
        <v>Not covered</v>
      </c>
      <c r="L115" s="9" t="s">
        <v>1005</v>
      </c>
    </row>
    <row r="116" customFormat="false" ht="23.85" hidden="false" customHeight="false" outlineLevel="0" collapsed="false">
      <c r="A116" s="47" t="s">
        <v>573</v>
      </c>
      <c r="B116" s="47" t="s">
        <v>570</v>
      </c>
      <c r="C116" s="5" t="s">
        <v>1019</v>
      </c>
      <c r="D116" s="6" t="s">
        <v>263</v>
      </c>
      <c r="E116" s="6" t="s">
        <v>263</v>
      </c>
      <c r="F116" s="6" t="s">
        <v>730</v>
      </c>
      <c r="G116" s="6" t="s">
        <v>266</v>
      </c>
      <c r="H116" s="6"/>
      <c r="I116" s="26" t="n">
        <v>1</v>
      </c>
      <c r="J116" s="26" t="n">
        <f aca="false">COUNTIFS('Control Library'!$A$5:$A$50,"AI-CTRL-012",'Control Library'!$R$5:$R$50,"Implemented")</f>
        <v>0</v>
      </c>
      <c r="K116" s="43" t="str">
        <f aca="false">IF(I116=0,"No wiki control",IF(J116=I116,"Fully covered",IF(J116=0,"Not covered","Partly covered")))</f>
        <v>Not covered</v>
      </c>
      <c r="L116" s="9" t="s">
        <v>1005</v>
      </c>
    </row>
    <row r="117" customFormat="false" ht="23.85" hidden="false" customHeight="false" outlineLevel="0" collapsed="false">
      <c r="A117" s="47" t="s">
        <v>573</v>
      </c>
      <c r="B117" s="47" t="s">
        <v>570</v>
      </c>
      <c r="C117" s="5" t="s">
        <v>1020</v>
      </c>
      <c r="D117" s="6" t="s">
        <v>1021</v>
      </c>
      <c r="E117" s="6" t="s">
        <v>973</v>
      </c>
      <c r="F117" s="6" t="s">
        <v>730</v>
      </c>
      <c r="G117" s="6" t="s">
        <v>266</v>
      </c>
      <c r="H117" s="6"/>
      <c r="I117" s="26" t="n">
        <v>2</v>
      </c>
      <c r="J117" s="26" t="n">
        <f aca="false">COUNTIFS('Control Library'!$A$5:$A$50,"AI-CTRL-012",'Control Library'!$R$5:$R$50,"Implemented")+COUNTIFS('Control Library'!$A$5:$A$50,"AI-CTRL-044",'Control Library'!$R$5:$R$50,"Implemented")</f>
        <v>0</v>
      </c>
      <c r="K117" s="43" t="str">
        <f aca="false">IF(I117=0,"No wiki control",IF(J117=I117,"Fully covered",IF(J117=0,"Not covered","Partly covered")))</f>
        <v>Not covered</v>
      </c>
      <c r="L117" s="9" t="s">
        <v>1005</v>
      </c>
    </row>
    <row r="118" customFormat="false" ht="23.85" hidden="false" customHeight="false" outlineLevel="0" collapsed="false">
      <c r="A118" s="47" t="s">
        <v>573</v>
      </c>
      <c r="B118" s="47" t="s">
        <v>570</v>
      </c>
      <c r="C118" s="5" t="s">
        <v>1022</v>
      </c>
      <c r="D118" s="6" t="s">
        <v>1023</v>
      </c>
      <c r="E118" s="6"/>
      <c r="F118" s="6" t="s">
        <v>640</v>
      </c>
      <c r="G118" s="6"/>
      <c r="H118" s="6"/>
      <c r="I118" s="26" t="n">
        <v>0</v>
      </c>
      <c r="J118" s="26" t="n">
        <f aca="false">0</f>
        <v>0</v>
      </c>
      <c r="K118" s="43" t="str">
        <f aca="false">IF(I118=0,"No wiki control",IF(J118=I118,"Fully covered",IF(J118=0,"Not covered","Partly covered")))</f>
        <v>No wiki control</v>
      </c>
      <c r="L118" s="9" t="s">
        <v>1005</v>
      </c>
    </row>
    <row r="119" customFormat="false" ht="23.85" hidden="false" customHeight="false" outlineLevel="0" collapsed="false">
      <c r="A119" s="47" t="s">
        <v>573</v>
      </c>
      <c r="B119" s="47" t="s">
        <v>570</v>
      </c>
      <c r="C119" s="5" t="s">
        <v>1024</v>
      </c>
      <c r="D119" s="6" t="s">
        <v>1023</v>
      </c>
      <c r="E119" s="6"/>
      <c r="F119" s="6" t="s">
        <v>640</v>
      </c>
      <c r="G119" s="6"/>
      <c r="H119" s="6"/>
      <c r="I119" s="26" t="n">
        <v>0</v>
      </c>
      <c r="J119" s="26" t="n">
        <f aca="false">0</f>
        <v>0</v>
      </c>
      <c r="K119" s="43" t="str">
        <f aca="false">IF(I119=0,"No wiki control",IF(J119=I119,"Fully covered",IF(J119=0,"Not covered","Partly covered")))</f>
        <v>No wiki control</v>
      </c>
      <c r="L119" s="9" t="s">
        <v>1005</v>
      </c>
    </row>
    <row r="120" customFormat="false" ht="23.85" hidden="false" customHeight="false" outlineLevel="0" collapsed="false">
      <c r="A120" s="47" t="s">
        <v>573</v>
      </c>
      <c r="B120" s="47" t="s">
        <v>570</v>
      </c>
      <c r="C120" s="5" t="s">
        <v>1025</v>
      </c>
      <c r="D120" s="6" t="s">
        <v>1026</v>
      </c>
      <c r="E120" s="6" t="s">
        <v>805</v>
      </c>
      <c r="F120" s="6" t="s">
        <v>730</v>
      </c>
      <c r="G120" s="6" t="s">
        <v>542</v>
      </c>
      <c r="H120" s="6"/>
      <c r="I120" s="26" t="n">
        <v>2</v>
      </c>
      <c r="J120" s="26" t="n">
        <f aca="false">COUNTIFS('Control Library'!$A$5:$A$50,"AI-CTRL-023",'Control Library'!$R$5:$R$50,"Implemented")+COUNTIFS('Control Library'!$A$5:$A$50,"AI-CTRL-045",'Control Library'!$R$5:$R$50,"Implemented")</f>
        <v>0</v>
      </c>
      <c r="K120" s="43" t="str">
        <f aca="false">IF(I120=0,"No wiki control",IF(J120=I120,"Fully covered",IF(J120=0,"Not covered","Partly covered")))</f>
        <v>Not covered</v>
      </c>
      <c r="L120" s="9" t="s">
        <v>1005</v>
      </c>
    </row>
    <row r="121" customFormat="false" ht="23.85" hidden="false" customHeight="false" outlineLevel="0" collapsed="false">
      <c r="A121" s="47" t="s">
        <v>573</v>
      </c>
      <c r="B121" s="47" t="s">
        <v>570</v>
      </c>
      <c r="C121" s="5" t="s">
        <v>1027</v>
      </c>
      <c r="D121" s="6" t="s">
        <v>1023</v>
      </c>
      <c r="E121" s="6"/>
      <c r="F121" s="6" t="s">
        <v>640</v>
      </c>
      <c r="G121" s="6"/>
      <c r="H121" s="6"/>
      <c r="I121" s="26" t="n">
        <v>0</v>
      </c>
      <c r="J121" s="26" t="n">
        <f aca="false">0</f>
        <v>0</v>
      </c>
      <c r="K121" s="43" t="str">
        <f aca="false">IF(I121=0,"No wiki control",IF(J121=I121,"Fully covered",IF(J121=0,"Not covered","Partly covered")))</f>
        <v>No wiki control</v>
      </c>
      <c r="L121" s="9" t="s">
        <v>1005</v>
      </c>
    </row>
    <row r="122" customFormat="false" ht="23.85" hidden="false" customHeight="false" outlineLevel="0" collapsed="false">
      <c r="A122" s="47" t="s">
        <v>573</v>
      </c>
      <c r="B122" s="47" t="s">
        <v>570</v>
      </c>
      <c r="C122" s="5" t="s">
        <v>1028</v>
      </c>
      <c r="D122" s="6" t="s">
        <v>435</v>
      </c>
      <c r="E122" s="6" t="s">
        <v>435</v>
      </c>
      <c r="F122" s="6" t="s">
        <v>730</v>
      </c>
      <c r="G122" s="6" t="s">
        <v>439</v>
      </c>
      <c r="H122" s="6"/>
      <c r="I122" s="26" t="n">
        <v>1</v>
      </c>
      <c r="J122" s="26" t="n">
        <f aca="false">COUNTIFS('Control Library'!$A$5:$A$50,"AI-CTRL-033",'Control Library'!$R$5:$R$50,"Implemented")</f>
        <v>0</v>
      </c>
      <c r="K122" s="43" t="str">
        <f aca="false">IF(I122=0,"No wiki control",IF(J122=I122,"Fully covered",IF(J122=0,"Not covered","Partly covered")))</f>
        <v>Not covered</v>
      </c>
      <c r="L122" s="9" t="s">
        <v>1005</v>
      </c>
    </row>
    <row r="123" customFormat="false" ht="23.85" hidden="false" customHeight="false" outlineLevel="0" collapsed="false">
      <c r="A123" s="47" t="s">
        <v>573</v>
      </c>
      <c r="B123" s="47" t="s">
        <v>570</v>
      </c>
      <c r="C123" s="5" t="s">
        <v>1029</v>
      </c>
      <c r="D123" s="6" t="s">
        <v>1030</v>
      </c>
      <c r="E123" s="6" t="s">
        <v>1031</v>
      </c>
      <c r="F123" s="6" t="s">
        <v>730</v>
      </c>
      <c r="G123" s="6" t="s">
        <v>1032</v>
      </c>
      <c r="H123" s="6"/>
      <c r="I123" s="26" t="n">
        <v>2</v>
      </c>
      <c r="J123" s="26" t="n">
        <f aca="false">COUNTIFS('Control Library'!$A$5:$A$50,"AI-CTRL-034",'Control Library'!$R$5:$R$50,"Implemented")+COUNTIFS('Control Library'!$A$5:$A$50,"AI-CTRL-035",'Control Library'!$R$5:$R$50,"Implemented")</f>
        <v>0</v>
      </c>
      <c r="K123" s="43" t="str">
        <f aca="false">IF(I123=0,"No wiki control",IF(J123=I123,"Fully covered",IF(J123=0,"Not covered","Partly covered")))</f>
        <v>Not covered</v>
      </c>
      <c r="L123" s="9" t="s">
        <v>1005</v>
      </c>
    </row>
    <row r="124" customFormat="false" ht="23.85" hidden="false" customHeight="false" outlineLevel="0" collapsed="false">
      <c r="A124" s="47" t="s">
        <v>573</v>
      </c>
      <c r="B124" s="47" t="s">
        <v>570</v>
      </c>
      <c r="C124" s="5" t="s">
        <v>1033</v>
      </c>
      <c r="D124" s="6" t="s">
        <v>522</v>
      </c>
      <c r="E124" s="6" t="s">
        <v>522</v>
      </c>
      <c r="F124" s="6" t="s">
        <v>730</v>
      </c>
      <c r="G124" s="6" t="s">
        <v>525</v>
      </c>
      <c r="H124" s="6"/>
      <c r="I124" s="26" t="n">
        <v>1</v>
      </c>
      <c r="J124" s="26" t="n">
        <f aca="false">COUNTIFS('Control Library'!$A$5:$A$50,"AI-CTRL-043",'Control Library'!$R$5:$R$50,"Implemented")</f>
        <v>0</v>
      </c>
      <c r="K124" s="43" t="str">
        <f aca="false">IF(I124=0,"No wiki control",IF(J124=I124,"Fully covered",IF(J124=0,"Not covered","Partly covered")))</f>
        <v>Not covered</v>
      </c>
      <c r="L124" s="9" t="s">
        <v>1005</v>
      </c>
    </row>
    <row r="125" customFormat="false" ht="23.85" hidden="false" customHeight="false" outlineLevel="0" collapsed="false">
      <c r="A125" s="47" t="s">
        <v>573</v>
      </c>
      <c r="B125" s="47" t="s">
        <v>570</v>
      </c>
      <c r="C125" s="5" t="s">
        <v>1034</v>
      </c>
      <c r="D125" s="6" t="s">
        <v>1023</v>
      </c>
      <c r="E125" s="6"/>
      <c r="F125" s="6" t="s">
        <v>640</v>
      </c>
      <c r="G125" s="6"/>
      <c r="H125" s="6"/>
      <c r="I125" s="26" t="n">
        <v>0</v>
      </c>
      <c r="J125" s="26" t="n">
        <f aca="false">0</f>
        <v>0</v>
      </c>
      <c r="K125" s="43" t="str">
        <f aca="false">IF(I125=0,"No wiki control",IF(J125=I125,"Fully covered",IF(J125=0,"Not covered","Partly covered")))</f>
        <v>No wiki control</v>
      </c>
      <c r="L125" s="9" t="s">
        <v>1005</v>
      </c>
    </row>
    <row r="126" customFormat="false" ht="35.05" hidden="false" customHeight="false" outlineLevel="0" collapsed="false">
      <c r="A126" s="47" t="s">
        <v>573</v>
      </c>
      <c r="B126" s="47" t="s">
        <v>570</v>
      </c>
      <c r="C126" s="5" t="s">
        <v>1035</v>
      </c>
      <c r="D126" s="6" t="s">
        <v>1036</v>
      </c>
      <c r="E126" s="6" t="s">
        <v>1037</v>
      </c>
      <c r="F126" s="6" t="s">
        <v>730</v>
      </c>
      <c r="G126" s="6" t="s">
        <v>1038</v>
      </c>
      <c r="H126" s="6"/>
      <c r="I126" s="26" t="n">
        <v>6</v>
      </c>
      <c r="J126" s="26" t="n">
        <f aca="false">COUNTIFS('Control Library'!$A$5:$A$50,"AI-CTRL-001",'Control Library'!$R$5:$R$50,"Implemented")+COUNTIFS('Control Library'!$A$5:$A$50,"AI-CTRL-004",'Control Library'!$R$5:$R$50,"Implemented")+COUNTIFS('Control Library'!$A$5:$A$50,"AI-CTRL-007",'Control Library'!$R$5:$R$50,"Implemented")+COUNTIFS('Control Library'!$A$5:$A$50,"AI-CTRL-014",'Control Library'!$R$5:$R$50,"Implemented")+COUNTIFS('Control Library'!$A$5:$A$50,"AI-CTRL-024",'Control Library'!$R$5:$R$50,"Implemented")+COUNTIFS('Control Library'!$A$5:$A$50,"AI-CTRL-031",'Control Library'!$R$5:$R$50,"Implemented")</f>
        <v>0</v>
      </c>
      <c r="K126" s="43" t="str">
        <f aca="false">IF(I126=0,"No wiki control",IF(J126=I126,"Fully covered",IF(J126=0,"Not covered","Partly covered")))</f>
        <v>Not covered</v>
      </c>
      <c r="L126" s="9" t="s">
        <v>1005</v>
      </c>
    </row>
    <row r="127" customFormat="false" ht="23.85" hidden="false" customHeight="false" outlineLevel="0" collapsed="false">
      <c r="A127" s="47" t="s">
        <v>573</v>
      </c>
      <c r="B127" s="47" t="s">
        <v>570</v>
      </c>
      <c r="C127" s="5" t="s">
        <v>1039</v>
      </c>
      <c r="D127" s="6" t="s">
        <v>1040</v>
      </c>
      <c r="E127" s="6" t="s">
        <v>1041</v>
      </c>
      <c r="F127" s="6" t="s">
        <v>730</v>
      </c>
      <c r="G127" s="6" t="s">
        <v>1042</v>
      </c>
      <c r="H127" s="6"/>
      <c r="I127" s="26" t="n">
        <v>3</v>
      </c>
      <c r="J127" s="26" t="n">
        <f aca="false">COUNTIFS('Control Library'!$A$5:$A$50,"AI-CTRL-014",'Control Library'!$R$5:$R$50,"Implemented")+COUNTIFS('Control Library'!$A$5:$A$50,"AI-CTRL-035",'Control Library'!$R$5:$R$50,"Implemented")+COUNTIFS('Control Library'!$A$5:$A$50,"AI-CTRL-040",'Control Library'!$R$5:$R$50,"Implemented")</f>
        <v>0</v>
      </c>
      <c r="K127" s="43" t="str">
        <f aca="false">IF(I127=0,"No wiki control",IF(J127=I127,"Fully covered",IF(J127=0,"Not covered","Partly covered")))</f>
        <v>Not covered</v>
      </c>
      <c r="L127" s="9" t="s">
        <v>1005</v>
      </c>
    </row>
    <row r="128" customFormat="false" ht="23.85" hidden="false" customHeight="false" outlineLevel="0" collapsed="false">
      <c r="A128" s="47" t="s">
        <v>573</v>
      </c>
      <c r="B128" s="47" t="s">
        <v>570</v>
      </c>
      <c r="C128" s="5" t="s">
        <v>1043</v>
      </c>
      <c r="D128" s="6" t="s">
        <v>435</v>
      </c>
      <c r="E128" s="6" t="s">
        <v>435</v>
      </c>
      <c r="F128" s="6" t="s">
        <v>730</v>
      </c>
      <c r="G128" s="6" t="s">
        <v>439</v>
      </c>
      <c r="H128" s="6"/>
      <c r="I128" s="26" t="n">
        <v>1</v>
      </c>
      <c r="J128" s="26" t="n">
        <f aca="false">COUNTIFS('Control Library'!$A$5:$A$50,"AI-CTRL-033",'Control Library'!$R$5:$R$50,"Implemented")</f>
        <v>0</v>
      </c>
      <c r="K128" s="43" t="str">
        <f aca="false">IF(I128=0,"No wiki control",IF(J128=I128,"Fully covered",IF(J128=0,"Not covered","Partly covered")))</f>
        <v>Not covered</v>
      </c>
      <c r="L128" s="9" t="s">
        <v>1005</v>
      </c>
    </row>
    <row r="129" customFormat="false" ht="23.85" hidden="false" customHeight="false" outlineLevel="0" collapsed="false">
      <c r="A129" s="47" t="s">
        <v>573</v>
      </c>
      <c r="B129" s="47" t="s">
        <v>570</v>
      </c>
      <c r="C129" s="5" t="s">
        <v>1044</v>
      </c>
      <c r="D129" s="6" t="s">
        <v>470</v>
      </c>
      <c r="E129" s="6" t="s">
        <v>470</v>
      </c>
      <c r="F129" s="6" t="s">
        <v>730</v>
      </c>
      <c r="G129" s="6" t="s">
        <v>473</v>
      </c>
      <c r="H129" s="6"/>
      <c r="I129" s="26" t="n">
        <v>1</v>
      </c>
      <c r="J129" s="26" t="n">
        <f aca="false">COUNTIFS('Control Library'!$A$5:$A$50,"AI-CTRL-037",'Control Library'!$R$5:$R$50,"Implemented")</f>
        <v>0</v>
      </c>
      <c r="K129" s="43" t="str">
        <f aca="false">IF(I129=0,"No wiki control",IF(J129=I129,"Fully covered",IF(J129=0,"Not covered","Partly covered")))</f>
        <v>Not covered</v>
      </c>
      <c r="L129" s="9" t="s">
        <v>1005</v>
      </c>
    </row>
    <row r="130" customFormat="false" ht="46.25" hidden="false" customHeight="false" outlineLevel="0" collapsed="false">
      <c r="A130" s="47" t="s">
        <v>573</v>
      </c>
      <c r="B130" s="47" t="s">
        <v>570</v>
      </c>
      <c r="C130" s="5" t="s">
        <v>1045</v>
      </c>
      <c r="D130" s="6" t="s">
        <v>1046</v>
      </c>
      <c r="E130" s="6" t="s">
        <v>1047</v>
      </c>
      <c r="F130" s="6" t="s">
        <v>730</v>
      </c>
      <c r="G130" s="6" t="s">
        <v>1048</v>
      </c>
      <c r="H130" s="6"/>
      <c r="I130" s="26" t="n">
        <v>5</v>
      </c>
      <c r="J130" s="26" t="n">
        <f aca="false">COUNTIFS('Control Library'!$A$5:$A$50,"AI-CTRL-005",'Control Library'!$R$5:$R$50,"Implemented")+COUNTIFS('Control Library'!$A$5:$A$50,"AI-CTRL-010",'Control Library'!$R$5:$R$50,"Implemented")+COUNTIFS('Control Library'!$A$5:$A$50,"AI-CTRL-016",'Control Library'!$R$5:$R$50,"Implemented")+COUNTIFS('Control Library'!$A$5:$A$50,"AI-CTRL-022",'Control Library'!$R$5:$R$50,"Implemented")+COUNTIFS('Control Library'!$A$5:$A$50,"AI-CTRL-027",'Control Library'!$R$5:$R$50,"Implemented")</f>
        <v>0</v>
      </c>
      <c r="K130" s="43" t="str">
        <f aca="false">IF(I130=0,"No wiki control",IF(J130=I130,"Fully covered",IF(J130=0,"Not covered","Partly covered")))</f>
        <v>Not covered</v>
      </c>
      <c r="L130" s="9" t="s">
        <v>1005</v>
      </c>
    </row>
    <row r="131" customFormat="false" ht="23.85" hidden="false" customHeight="false" outlineLevel="0" collapsed="false">
      <c r="A131" s="47" t="s">
        <v>573</v>
      </c>
      <c r="B131" s="47" t="s">
        <v>570</v>
      </c>
      <c r="C131" s="5" t="s">
        <v>1049</v>
      </c>
      <c r="D131" s="6" t="s">
        <v>470</v>
      </c>
      <c r="E131" s="6" t="s">
        <v>470</v>
      </c>
      <c r="F131" s="6" t="s">
        <v>730</v>
      </c>
      <c r="G131" s="6" t="s">
        <v>473</v>
      </c>
      <c r="H131" s="6"/>
      <c r="I131" s="26" t="n">
        <v>1</v>
      </c>
      <c r="J131" s="26" t="n">
        <f aca="false">COUNTIFS('Control Library'!$A$5:$A$50,"AI-CTRL-037",'Control Library'!$R$5:$R$50,"Implemented")</f>
        <v>0</v>
      </c>
      <c r="K131" s="43" t="str">
        <f aca="false">IF(I131=0,"No wiki control",IF(J131=I131,"Fully covered",IF(J131=0,"Not covered","Partly covered")))</f>
        <v>Not covered</v>
      </c>
      <c r="L131" s="9" t="s">
        <v>1005</v>
      </c>
    </row>
    <row r="132" customFormat="false" ht="23.85" hidden="false" customHeight="false" outlineLevel="0" collapsed="false">
      <c r="A132" s="47" t="s">
        <v>573</v>
      </c>
      <c r="B132" s="47" t="s">
        <v>570</v>
      </c>
      <c r="C132" s="5" t="s">
        <v>1050</v>
      </c>
      <c r="D132" s="6" t="s">
        <v>1023</v>
      </c>
      <c r="E132" s="6"/>
      <c r="F132" s="6" t="s">
        <v>640</v>
      </c>
      <c r="G132" s="6"/>
      <c r="H132" s="6"/>
      <c r="I132" s="26" t="n">
        <v>0</v>
      </c>
      <c r="J132" s="26" t="n">
        <f aca="false">0</f>
        <v>0</v>
      </c>
      <c r="K132" s="43" t="str">
        <f aca="false">IF(I132=0,"No wiki control",IF(J132=I132,"Fully covered",IF(J132=0,"Not covered","Partly covered")))</f>
        <v>No wiki control</v>
      </c>
      <c r="L132" s="9" t="s">
        <v>1005</v>
      </c>
    </row>
    <row r="133" customFormat="false" ht="23.85" hidden="false" customHeight="false" outlineLevel="0" collapsed="false">
      <c r="A133" s="47" t="s">
        <v>573</v>
      </c>
      <c r="B133" s="47" t="s">
        <v>570</v>
      </c>
      <c r="C133" s="5" t="s">
        <v>1051</v>
      </c>
      <c r="D133" s="6" t="s">
        <v>1023</v>
      </c>
      <c r="E133" s="6"/>
      <c r="F133" s="6" t="s">
        <v>640</v>
      </c>
      <c r="G133" s="6"/>
      <c r="H133" s="6"/>
      <c r="I133" s="26" t="n">
        <v>0</v>
      </c>
      <c r="J133" s="26" t="n">
        <f aca="false">0</f>
        <v>0</v>
      </c>
      <c r="K133" s="43" t="str">
        <f aca="false">IF(I133=0,"No wiki control",IF(J133=I133,"Fully covered",IF(J133=0,"Not covered","Partly covered")))</f>
        <v>No wiki control</v>
      </c>
      <c r="L133" s="9" t="s">
        <v>1005</v>
      </c>
    </row>
    <row r="134" customFormat="false" ht="35.05" hidden="false" customHeight="false" outlineLevel="0" collapsed="false">
      <c r="A134" s="47" t="s">
        <v>573</v>
      </c>
      <c r="B134" s="47" t="s">
        <v>570</v>
      </c>
      <c r="C134" s="5" t="s">
        <v>1052</v>
      </c>
      <c r="D134" s="6" t="s">
        <v>1053</v>
      </c>
      <c r="E134" s="6" t="s">
        <v>1054</v>
      </c>
      <c r="F134" s="6" t="s">
        <v>730</v>
      </c>
      <c r="G134" s="6" t="s">
        <v>1055</v>
      </c>
      <c r="H134" s="6"/>
      <c r="I134" s="26" t="n">
        <v>3</v>
      </c>
      <c r="J134" s="26" t="n">
        <f aca="false">COUNTIFS('Control Library'!$A$5:$A$50,"AI-CTRL-025",'Control Library'!$R$5:$R$50,"Implemented")+COUNTIFS('Control Library'!$A$5:$A$50,"AI-CTRL-035",'Control Library'!$R$5:$R$50,"Implemented")+COUNTIFS('Control Library'!$A$5:$A$50,"AI-CTRL-040",'Control Library'!$R$5:$R$50,"Implemented")</f>
        <v>0</v>
      </c>
      <c r="K134" s="43" t="str">
        <f aca="false">IF(I134=0,"No wiki control",IF(J134=I134,"Fully covered",IF(J134=0,"Not covered","Partly covered")))</f>
        <v>Not covered</v>
      </c>
      <c r="L134" s="9" t="s">
        <v>1005</v>
      </c>
    </row>
    <row r="135" customFormat="false" ht="23.85" hidden="false" customHeight="false" outlineLevel="0" collapsed="false">
      <c r="A135" s="47" t="s">
        <v>573</v>
      </c>
      <c r="B135" s="47" t="s">
        <v>570</v>
      </c>
      <c r="C135" s="5" t="s">
        <v>1056</v>
      </c>
      <c r="D135" s="6" t="s">
        <v>371</v>
      </c>
      <c r="E135" s="6" t="s">
        <v>371</v>
      </c>
      <c r="F135" s="6" t="s">
        <v>730</v>
      </c>
      <c r="G135" s="6" t="s">
        <v>375</v>
      </c>
      <c r="H135" s="6"/>
      <c r="I135" s="26" t="n">
        <v>1</v>
      </c>
      <c r="J135" s="26" t="n">
        <f aca="false">COUNTIFS('Control Library'!$A$5:$A$50,"AI-CTRL-025",'Control Library'!$R$5:$R$50,"Implemented")</f>
        <v>0</v>
      </c>
      <c r="K135" s="43" t="str">
        <f aca="false">IF(I135=0,"No wiki control",IF(J135=I135,"Fully covered",IF(J135=0,"Not covered","Partly covered")))</f>
        <v>Not covered</v>
      </c>
      <c r="L135" s="9" t="s">
        <v>1005</v>
      </c>
    </row>
    <row r="136" customFormat="false" ht="23.85" hidden="false" customHeight="false" outlineLevel="0" collapsed="false">
      <c r="A136" s="47" t="s">
        <v>573</v>
      </c>
      <c r="B136" s="47" t="s">
        <v>570</v>
      </c>
      <c r="C136" s="5" t="s">
        <v>1057</v>
      </c>
      <c r="D136" s="6" t="s">
        <v>1058</v>
      </c>
      <c r="E136" s="6" t="s">
        <v>1059</v>
      </c>
      <c r="F136" s="6" t="s">
        <v>730</v>
      </c>
      <c r="G136" s="6" t="s">
        <v>1060</v>
      </c>
      <c r="H136" s="6"/>
      <c r="I136" s="26" t="n">
        <v>3</v>
      </c>
      <c r="J136" s="26" t="n">
        <f aca="false">COUNTIFS('Control Library'!$A$5:$A$50,"AI-CTRL-014",'Control Library'!$R$5:$R$50,"Implemented")+COUNTIFS('Control Library'!$A$5:$A$50,"AI-CTRL-024",'Control Library'!$R$5:$R$50,"Implemented")+COUNTIFS('Control Library'!$A$5:$A$50,"AI-CTRL-031",'Control Library'!$R$5:$R$50,"Implemented")</f>
        <v>0</v>
      </c>
      <c r="K136" s="43" t="str">
        <f aca="false">IF(I136=0,"No wiki control",IF(J136=I136,"Fully covered",IF(J136=0,"Not covered","Partly covered")))</f>
        <v>Not covered</v>
      </c>
      <c r="L136" s="9" t="s">
        <v>1005</v>
      </c>
    </row>
    <row r="137" customFormat="false" ht="23.85" hidden="false" customHeight="false" outlineLevel="0" collapsed="false">
      <c r="A137" s="47" t="s">
        <v>573</v>
      </c>
      <c r="B137" s="47" t="s">
        <v>570</v>
      </c>
      <c r="C137" s="5" t="s">
        <v>1061</v>
      </c>
      <c r="D137" s="6" t="s">
        <v>420</v>
      </c>
      <c r="E137" s="6" t="s">
        <v>420</v>
      </c>
      <c r="F137" s="6" t="s">
        <v>730</v>
      </c>
      <c r="G137" s="6" t="s">
        <v>424</v>
      </c>
      <c r="H137" s="6"/>
      <c r="I137" s="26" t="n">
        <v>1</v>
      </c>
      <c r="J137" s="26" t="n">
        <f aca="false">COUNTIFS('Control Library'!$A$5:$A$50,"AI-CTRL-031",'Control Library'!$R$5:$R$50,"Implemented")</f>
        <v>0</v>
      </c>
      <c r="K137" s="43" t="str">
        <f aca="false">IF(I137=0,"No wiki control",IF(J137=I137,"Fully covered",IF(J137=0,"Not covered","Partly covered")))</f>
        <v>Not covered</v>
      </c>
      <c r="L137" s="9" t="s">
        <v>1005</v>
      </c>
    </row>
    <row r="138" customFormat="false" ht="35.05" hidden="false" customHeight="false" outlineLevel="0" collapsed="false">
      <c r="A138" s="47" t="s">
        <v>573</v>
      </c>
      <c r="B138" s="47" t="s">
        <v>570</v>
      </c>
      <c r="C138" s="5" t="s">
        <v>1062</v>
      </c>
      <c r="D138" s="6" t="s">
        <v>1063</v>
      </c>
      <c r="E138" s="6" t="s">
        <v>1064</v>
      </c>
      <c r="F138" s="6" t="s">
        <v>730</v>
      </c>
      <c r="G138" s="6" t="s">
        <v>1065</v>
      </c>
      <c r="H138" s="6"/>
      <c r="I138" s="26" t="n">
        <v>6</v>
      </c>
      <c r="J138" s="26" t="n">
        <f aca="false">COUNTIFS('Control Library'!$A$5:$A$50,"AI-CTRL-002",'Control Library'!$R$5:$R$50,"Implemented")+COUNTIFS('Control Library'!$A$5:$A$50,"AI-CTRL-003",'Control Library'!$R$5:$R$50,"Implemented")+COUNTIFS('Control Library'!$A$5:$A$50,"AI-CTRL-004",'Control Library'!$R$5:$R$50,"Implemented")+COUNTIFS('Control Library'!$A$5:$A$50,"AI-CTRL-008",'Control Library'!$R$5:$R$50,"Implemented")+COUNTIFS('Control Library'!$A$5:$A$50,"AI-CTRL-009",'Control Library'!$R$5:$R$50,"Implemented")+COUNTIFS('Control Library'!$A$5:$A$50,"AI-CTRL-036",'Control Library'!$R$5:$R$50,"Implemented")</f>
        <v>0</v>
      </c>
      <c r="K138" s="43" t="str">
        <f aca="false">IF(I138=0,"No wiki control",IF(J138=I138,"Fully covered",IF(J138=0,"Not covered","Partly covered")))</f>
        <v>Not covered</v>
      </c>
      <c r="L138" s="9" t="s">
        <v>1005</v>
      </c>
    </row>
    <row r="139" customFormat="false" ht="23.85" hidden="false" customHeight="false" outlineLevel="0" collapsed="false">
      <c r="A139" s="47" t="s">
        <v>573</v>
      </c>
      <c r="B139" s="47" t="s">
        <v>570</v>
      </c>
      <c r="C139" s="5" t="s">
        <v>1066</v>
      </c>
      <c r="D139" s="6" t="s">
        <v>478</v>
      </c>
      <c r="E139" s="6" t="s">
        <v>478</v>
      </c>
      <c r="F139" s="6" t="s">
        <v>730</v>
      </c>
      <c r="G139" s="6" t="s">
        <v>481</v>
      </c>
      <c r="H139" s="6"/>
      <c r="I139" s="26" t="n">
        <v>1</v>
      </c>
      <c r="J139" s="26" t="n">
        <f aca="false">COUNTIFS('Control Library'!$A$5:$A$50,"AI-CTRL-038",'Control Library'!$R$5:$R$50,"Implemented")</f>
        <v>0</v>
      </c>
      <c r="K139" s="43" t="str">
        <f aca="false">IF(I139=0,"No wiki control",IF(J139=I139,"Fully covered",IF(J139=0,"Not covered","Partly covered")))</f>
        <v>Not covered</v>
      </c>
      <c r="L139" s="9" t="s">
        <v>1005</v>
      </c>
    </row>
    <row r="140" customFormat="false" ht="23.85" hidden="false" customHeight="false" outlineLevel="0" collapsed="false">
      <c r="A140" s="47" t="s">
        <v>573</v>
      </c>
      <c r="B140" s="47" t="s">
        <v>570</v>
      </c>
      <c r="C140" s="5" t="s">
        <v>1067</v>
      </c>
      <c r="D140" s="6" t="s">
        <v>453</v>
      </c>
      <c r="E140" s="6" t="s">
        <v>453</v>
      </c>
      <c r="F140" s="6" t="s">
        <v>730</v>
      </c>
      <c r="G140" s="6" t="s">
        <v>456</v>
      </c>
      <c r="H140" s="6"/>
      <c r="I140" s="26" t="n">
        <v>1</v>
      </c>
      <c r="J140" s="26" t="n">
        <f aca="false">COUNTIFS('Control Library'!$A$5:$A$50,"AI-CTRL-035",'Control Library'!$R$5:$R$50,"Implemented")</f>
        <v>0</v>
      </c>
      <c r="K140" s="43" t="str">
        <f aca="false">IF(I140=0,"No wiki control",IF(J140=I140,"Fully covered",IF(J140=0,"Not covered","Partly covered")))</f>
        <v>Not covered</v>
      </c>
      <c r="L140" s="9" t="s">
        <v>1005</v>
      </c>
    </row>
    <row r="141" customFormat="false" ht="23.85" hidden="false" customHeight="false" outlineLevel="0" collapsed="false">
      <c r="A141" s="47" t="s">
        <v>573</v>
      </c>
      <c r="B141" s="47" t="s">
        <v>570</v>
      </c>
      <c r="C141" s="5" t="s">
        <v>1068</v>
      </c>
      <c r="D141" s="6" t="s">
        <v>1069</v>
      </c>
      <c r="E141" s="6" t="s">
        <v>1070</v>
      </c>
      <c r="F141" s="6" t="s">
        <v>730</v>
      </c>
      <c r="G141" s="6" t="s">
        <v>1071</v>
      </c>
      <c r="H141" s="6"/>
      <c r="I141" s="26" t="n">
        <v>2</v>
      </c>
      <c r="J141" s="26" t="n">
        <f aca="false">COUNTIFS('Control Library'!$A$5:$A$50,"AI-CTRL-011",'Control Library'!$R$5:$R$50,"Implemented")+COUNTIFS('Control Library'!$A$5:$A$50,"AI-CTRL-042",'Control Library'!$R$5:$R$50,"Implemented")</f>
        <v>0</v>
      </c>
      <c r="K141" s="43" t="str">
        <f aca="false">IF(I141=0,"No wiki control",IF(J141=I141,"Fully covered",IF(J141=0,"Not covered","Partly covered")))</f>
        <v>Not covered</v>
      </c>
      <c r="L141" s="9" t="s">
        <v>1005</v>
      </c>
    </row>
    <row r="142" customFormat="false" ht="23.85" hidden="false" customHeight="false" outlineLevel="0" collapsed="false">
      <c r="A142" s="47" t="s">
        <v>573</v>
      </c>
      <c r="B142" s="47" t="s">
        <v>570</v>
      </c>
      <c r="C142" s="5" t="s">
        <v>1072</v>
      </c>
      <c r="D142" s="6" t="s">
        <v>1023</v>
      </c>
      <c r="E142" s="6"/>
      <c r="F142" s="6" t="s">
        <v>640</v>
      </c>
      <c r="G142" s="6"/>
      <c r="H142" s="6"/>
      <c r="I142" s="26" t="n">
        <v>0</v>
      </c>
      <c r="J142" s="26" t="n">
        <f aca="false">0</f>
        <v>0</v>
      </c>
      <c r="K142" s="43" t="str">
        <f aca="false">IF(I142=0,"No wiki control",IF(J142=I142,"Fully covered",IF(J142=0,"Not covered","Partly covered")))</f>
        <v>No wiki control</v>
      </c>
      <c r="L142" s="9" t="s">
        <v>1005</v>
      </c>
    </row>
    <row r="143" customFormat="false" ht="23.85" hidden="false" customHeight="false" outlineLevel="0" collapsed="false">
      <c r="A143" s="47" t="s">
        <v>573</v>
      </c>
      <c r="B143" s="47" t="s">
        <v>570</v>
      </c>
      <c r="C143" s="5" t="s">
        <v>1073</v>
      </c>
      <c r="D143" s="6" t="s">
        <v>1023</v>
      </c>
      <c r="E143" s="6"/>
      <c r="F143" s="6" t="s">
        <v>640</v>
      </c>
      <c r="G143" s="6"/>
      <c r="H143" s="6"/>
      <c r="I143" s="26" t="n">
        <v>0</v>
      </c>
      <c r="J143" s="26" t="n">
        <f aca="false">0</f>
        <v>0</v>
      </c>
      <c r="K143" s="43" t="str">
        <f aca="false">IF(I143=0,"No wiki control",IF(J143=I143,"Fully covered",IF(J143=0,"Not covered","Partly covered")))</f>
        <v>No wiki control</v>
      </c>
      <c r="L143" s="9" t="s">
        <v>1005</v>
      </c>
    </row>
    <row r="144" customFormat="false" ht="23.85" hidden="false" customHeight="false" outlineLevel="0" collapsed="false">
      <c r="A144" s="47" t="s">
        <v>573</v>
      </c>
      <c r="B144" s="47" t="s">
        <v>570</v>
      </c>
      <c r="C144" s="5" t="s">
        <v>1074</v>
      </c>
      <c r="D144" s="6" t="s">
        <v>1023</v>
      </c>
      <c r="E144" s="6"/>
      <c r="F144" s="6" t="s">
        <v>640</v>
      </c>
      <c r="G144" s="6"/>
      <c r="H144" s="6"/>
      <c r="I144" s="26" t="n">
        <v>0</v>
      </c>
      <c r="J144" s="26" t="n">
        <f aca="false">0</f>
        <v>0</v>
      </c>
      <c r="K144" s="43" t="str">
        <f aca="false">IF(I144=0,"No wiki control",IF(J144=I144,"Fully covered",IF(J144=0,"Not covered","Partly covered")))</f>
        <v>No wiki control</v>
      </c>
      <c r="L144" s="9" t="s">
        <v>1005</v>
      </c>
    </row>
    <row r="145" customFormat="false" ht="23.85" hidden="false" customHeight="false" outlineLevel="0" collapsed="false">
      <c r="A145" s="47" t="s">
        <v>573</v>
      </c>
      <c r="B145" s="47" t="s">
        <v>570</v>
      </c>
      <c r="C145" s="5" t="s">
        <v>1075</v>
      </c>
      <c r="D145" s="6" t="s">
        <v>470</v>
      </c>
      <c r="E145" s="6" t="s">
        <v>470</v>
      </c>
      <c r="F145" s="6" t="s">
        <v>730</v>
      </c>
      <c r="G145" s="6" t="s">
        <v>473</v>
      </c>
      <c r="H145" s="6"/>
      <c r="I145" s="26" t="n">
        <v>1</v>
      </c>
      <c r="J145" s="26" t="n">
        <f aca="false">COUNTIFS('Control Library'!$A$5:$A$50,"AI-CTRL-037",'Control Library'!$R$5:$R$50,"Implemented")</f>
        <v>0</v>
      </c>
      <c r="K145" s="43" t="str">
        <f aca="false">IF(I145=0,"No wiki control",IF(J145=I145,"Fully covered",IF(J145=0,"Not covered","Partly covered")))</f>
        <v>Not covered</v>
      </c>
      <c r="L145" s="9" t="s">
        <v>1005</v>
      </c>
    </row>
    <row r="146" customFormat="false" ht="23.85" hidden="false" customHeight="false" outlineLevel="0" collapsed="false">
      <c r="A146" s="47" t="s">
        <v>573</v>
      </c>
      <c r="B146" s="47" t="s">
        <v>570</v>
      </c>
      <c r="C146" s="5" t="s">
        <v>1076</v>
      </c>
      <c r="D146" s="6" t="s">
        <v>1023</v>
      </c>
      <c r="E146" s="6"/>
      <c r="F146" s="6" t="s">
        <v>640</v>
      </c>
      <c r="G146" s="6"/>
      <c r="H146" s="6"/>
      <c r="I146" s="26" t="n">
        <v>0</v>
      </c>
      <c r="J146" s="26" t="n">
        <f aca="false">0</f>
        <v>0</v>
      </c>
      <c r="K146" s="43" t="str">
        <f aca="false">IF(I146=0,"No wiki control",IF(J146=I146,"Fully covered",IF(J146=0,"Not covered","Partly covered")))</f>
        <v>No wiki control</v>
      </c>
      <c r="L146" s="9" t="s">
        <v>1005</v>
      </c>
    </row>
    <row r="147" customFormat="false" ht="23.85" hidden="false" customHeight="false" outlineLevel="0" collapsed="false">
      <c r="A147" s="47" t="s">
        <v>573</v>
      </c>
      <c r="B147" s="47" t="s">
        <v>570</v>
      </c>
      <c r="C147" s="5" t="s">
        <v>1077</v>
      </c>
      <c r="D147" s="6" t="s">
        <v>1023</v>
      </c>
      <c r="E147" s="6"/>
      <c r="F147" s="6" t="s">
        <v>640</v>
      </c>
      <c r="G147" s="6"/>
      <c r="H147" s="6"/>
      <c r="I147" s="26" t="n">
        <v>0</v>
      </c>
      <c r="J147" s="26" t="n">
        <f aca="false">0</f>
        <v>0</v>
      </c>
      <c r="K147" s="43" t="str">
        <f aca="false">IF(I147=0,"No wiki control",IF(J147=I147,"Fully covered",IF(J147=0,"Not covered","Partly covered")))</f>
        <v>No wiki control</v>
      </c>
      <c r="L147" s="9" t="s">
        <v>1005</v>
      </c>
    </row>
    <row r="148" customFormat="false" ht="23.85" hidden="false" customHeight="false" outlineLevel="0" collapsed="false">
      <c r="A148" s="47" t="s">
        <v>573</v>
      </c>
      <c r="B148" s="47" t="s">
        <v>570</v>
      </c>
      <c r="C148" s="5" t="s">
        <v>1078</v>
      </c>
      <c r="D148" s="6" t="s">
        <v>486</v>
      </c>
      <c r="E148" s="6" t="s">
        <v>486</v>
      </c>
      <c r="F148" s="6" t="s">
        <v>730</v>
      </c>
      <c r="G148" s="6" t="s">
        <v>490</v>
      </c>
      <c r="H148" s="6"/>
      <c r="I148" s="26" t="n">
        <v>1</v>
      </c>
      <c r="J148" s="26" t="n">
        <f aca="false">COUNTIFS('Control Library'!$A$5:$A$50,"AI-CTRL-039",'Control Library'!$R$5:$R$50,"Implemented")</f>
        <v>0</v>
      </c>
      <c r="K148" s="43" t="str">
        <f aca="false">IF(I148=0,"No wiki control",IF(J148=I148,"Fully covered",IF(J148=0,"Not covered","Partly covered")))</f>
        <v>Not covered</v>
      </c>
      <c r="L148" s="9" t="s">
        <v>1005</v>
      </c>
    </row>
    <row r="149" customFormat="false" ht="23.85" hidden="false" customHeight="false" outlineLevel="0" collapsed="false">
      <c r="A149" s="47" t="s">
        <v>573</v>
      </c>
      <c r="B149" s="47" t="s">
        <v>570</v>
      </c>
      <c r="C149" s="5" t="s">
        <v>1079</v>
      </c>
      <c r="D149" s="6" t="s">
        <v>1080</v>
      </c>
      <c r="E149" s="6" t="s">
        <v>876</v>
      </c>
      <c r="F149" s="6" t="s">
        <v>730</v>
      </c>
      <c r="G149" s="6" t="s">
        <v>327</v>
      </c>
      <c r="H149" s="6"/>
      <c r="I149" s="26" t="n">
        <v>2</v>
      </c>
      <c r="J149" s="26" t="n">
        <f aca="false">COUNTIFS('Control Library'!$A$5:$A$50,"AI-CTRL-019",'Control Library'!$R$5:$R$50,"Implemented")+COUNTIFS('Control Library'!$A$5:$A$50,"AI-CTRL-029",'Control Library'!$R$5:$R$50,"Implemented")</f>
        <v>0</v>
      </c>
      <c r="K149" s="43" t="str">
        <f aca="false">IF(I149=0,"No wiki control",IF(J149=I149,"Fully covered",IF(J149=0,"Not covered","Partly covered")))</f>
        <v>Not covered</v>
      </c>
      <c r="L149" s="9" t="s">
        <v>1005</v>
      </c>
    </row>
    <row r="150" customFormat="false" ht="23.85" hidden="false" customHeight="false" outlineLevel="0" collapsed="false">
      <c r="A150" s="47" t="s">
        <v>573</v>
      </c>
      <c r="B150" s="47" t="s">
        <v>570</v>
      </c>
      <c r="C150" s="5" t="s">
        <v>1081</v>
      </c>
      <c r="D150" s="6" t="s">
        <v>1023</v>
      </c>
      <c r="E150" s="6"/>
      <c r="F150" s="6" t="s">
        <v>640</v>
      </c>
      <c r="G150" s="6"/>
      <c r="H150" s="6"/>
      <c r="I150" s="26" t="n">
        <v>0</v>
      </c>
      <c r="J150" s="26" t="n">
        <f aca="false">0</f>
        <v>0</v>
      </c>
      <c r="K150" s="43" t="str">
        <f aca="false">IF(I150=0,"No wiki control",IF(J150=I150,"Fully covered",IF(J150=0,"Not covered","Partly covered")))</f>
        <v>No wiki control</v>
      </c>
      <c r="L150" s="9" t="s">
        <v>1005</v>
      </c>
    </row>
    <row r="151" customFormat="false" ht="23.85" hidden="false" customHeight="false" outlineLevel="0" collapsed="false">
      <c r="A151" s="47" t="s">
        <v>573</v>
      </c>
      <c r="B151" s="47" t="s">
        <v>570</v>
      </c>
      <c r="C151" s="5" t="s">
        <v>1082</v>
      </c>
      <c r="D151" s="6" t="s">
        <v>1023</v>
      </c>
      <c r="E151" s="6"/>
      <c r="F151" s="6" t="s">
        <v>640</v>
      </c>
      <c r="G151" s="6"/>
      <c r="H151" s="6"/>
      <c r="I151" s="26" t="n">
        <v>0</v>
      </c>
      <c r="J151" s="26" t="n">
        <f aca="false">0</f>
        <v>0</v>
      </c>
      <c r="K151" s="43" t="str">
        <f aca="false">IF(I151=0,"No wiki control",IF(J151=I151,"Fully covered",IF(J151=0,"Not covered","Partly covered")))</f>
        <v>No wiki control</v>
      </c>
      <c r="L151" s="9" t="s">
        <v>1005</v>
      </c>
    </row>
    <row r="152" customFormat="false" ht="23.85" hidden="false" customHeight="false" outlineLevel="0" collapsed="false">
      <c r="A152" s="47" t="s">
        <v>573</v>
      </c>
      <c r="B152" s="47" t="s">
        <v>570</v>
      </c>
      <c r="C152" s="5" t="s">
        <v>1083</v>
      </c>
      <c r="D152" s="6" t="s">
        <v>1023</v>
      </c>
      <c r="E152" s="6"/>
      <c r="F152" s="6" t="s">
        <v>640</v>
      </c>
      <c r="G152" s="6"/>
      <c r="H152" s="6"/>
      <c r="I152" s="26" t="n">
        <v>0</v>
      </c>
      <c r="J152" s="26" t="n">
        <f aca="false">0</f>
        <v>0</v>
      </c>
      <c r="K152" s="43" t="str">
        <f aca="false">IF(I152=0,"No wiki control",IF(J152=I152,"Fully covered",IF(J152=0,"Not covered","Partly covered")))</f>
        <v>No wiki control</v>
      </c>
      <c r="L152" s="9" t="s">
        <v>1005</v>
      </c>
    </row>
    <row r="153" customFormat="false" ht="23.85" hidden="false" customHeight="false" outlineLevel="0" collapsed="false">
      <c r="A153" s="47" t="s">
        <v>573</v>
      </c>
      <c r="B153" s="47" t="s">
        <v>570</v>
      </c>
      <c r="C153" s="5" t="s">
        <v>1084</v>
      </c>
      <c r="D153" s="6" t="s">
        <v>530</v>
      </c>
      <c r="E153" s="6" t="s">
        <v>530</v>
      </c>
      <c r="F153" s="6" t="s">
        <v>730</v>
      </c>
      <c r="G153" s="6" t="s">
        <v>533</v>
      </c>
      <c r="H153" s="6"/>
      <c r="I153" s="26" t="n">
        <v>1</v>
      </c>
      <c r="J153" s="26" t="n">
        <f aca="false">COUNTIFS('Control Library'!$A$5:$A$50,"AI-CTRL-044",'Control Library'!$R$5:$R$50,"Implemented")</f>
        <v>0</v>
      </c>
      <c r="K153" s="43" t="str">
        <f aca="false">IF(I153=0,"No wiki control",IF(J153=I153,"Fully covered",IF(J153=0,"Not covered","Partly covered")))</f>
        <v>Not covered</v>
      </c>
      <c r="L153" s="9" t="s">
        <v>1005</v>
      </c>
    </row>
    <row r="154" customFormat="false" ht="23.85" hidden="false" customHeight="false" outlineLevel="0" collapsed="false">
      <c r="A154" s="47" t="s">
        <v>573</v>
      </c>
      <c r="B154" s="47" t="s">
        <v>570</v>
      </c>
      <c r="C154" s="5" t="s">
        <v>1085</v>
      </c>
      <c r="D154" s="6" t="s">
        <v>1026</v>
      </c>
      <c r="E154" s="6" t="s">
        <v>805</v>
      </c>
      <c r="F154" s="6" t="s">
        <v>730</v>
      </c>
      <c r="G154" s="6" t="s">
        <v>542</v>
      </c>
      <c r="H154" s="6"/>
      <c r="I154" s="26" t="n">
        <v>2</v>
      </c>
      <c r="J154" s="26" t="n">
        <f aca="false">COUNTIFS('Control Library'!$A$5:$A$50,"AI-CTRL-023",'Control Library'!$R$5:$R$50,"Implemented")+COUNTIFS('Control Library'!$A$5:$A$50,"AI-CTRL-045",'Control Library'!$R$5:$R$50,"Implemented")</f>
        <v>0</v>
      </c>
      <c r="K154" s="43" t="str">
        <f aca="false">IF(I154=0,"No wiki control",IF(J154=I154,"Fully covered",IF(J154=0,"Not covered","Partly covered")))</f>
        <v>Not covered</v>
      </c>
      <c r="L154" s="9" t="s">
        <v>1005</v>
      </c>
    </row>
    <row r="155" customFormat="false" ht="23.85" hidden="false" customHeight="false" outlineLevel="0" collapsed="false">
      <c r="A155" s="47" t="s">
        <v>573</v>
      </c>
      <c r="B155" s="47" t="s">
        <v>570</v>
      </c>
      <c r="C155" s="5" t="s">
        <v>1086</v>
      </c>
      <c r="D155" s="6" t="s">
        <v>1087</v>
      </c>
      <c r="E155" s="6" t="s">
        <v>1088</v>
      </c>
      <c r="F155" s="6" t="s">
        <v>730</v>
      </c>
      <c r="G155" s="6" t="s">
        <v>1089</v>
      </c>
      <c r="H155" s="6"/>
      <c r="I155" s="26" t="n">
        <v>5</v>
      </c>
      <c r="J155" s="26" t="n">
        <f aca="false">COUNTIFS('Control Library'!$A$5:$A$50,"AI-CTRL-007",'Control Library'!$R$5:$R$50,"Implemented")+COUNTIFS('Control Library'!$A$5:$A$50,"AI-CTRL-024",'Control Library'!$R$5:$R$50,"Implemented")+COUNTIFS('Control Library'!$A$5:$A$50,"AI-CTRL-029",'Control Library'!$R$5:$R$50,"Implemented")+COUNTIFS('Control Library'!$A$5:$A$50,"AI-CTRL-031",'Control Library'!$R$5:$R$50,"Implemented")+COUNTIFS('Control Library'!$A$5:$A$50,"AI-CTRL-046",'Control Library'!$R$5:$R$50,"Implemented")</f>
        <v>0</v>
      </c>
      <c r="K155" s="43" t="str">
        <f aca="false">IF(I155=0,"No wiki control",IF(J155=I155,"Fully covered",IF(J155=0,"Not covered","Partly covered")))</f>
        <v>Not covered</v>
      </c>
      <c r="L155" s="9" t="s">
        <v>1005</v>
      </c>
    </row>
    <row r="156" customFormat="false" ht="23.85" hidden="false" customHeight="false" outlineLevel="0" collapsed="false">
      <c r="A156" s="47" t="s">
        <v>573</v>
      </c>
      <c r="B156" s="47" t="s">
        <v>570</v>
      </c>
      <c r="C156" s="5" t="s">
        <v>1090</v>
      </c>
      <c r="D156" s="6" t="s">
        <v>1091</v>
      </c>
      <c r="E156" s="6" t="s">
        <v>1092</v>
      </c>
      <c r="F156" s="6" t="s">
        <v>730</v>
      </c>
      <c r="G156" s="6" t="s">
        <v>1093</v>
      </c>
      <c r="H156" s="6"/>
      <c r="I156" s="26" t="n">
        <v>3</v>
      </c>
      <c r="J156" s="26" t="n">
        <f aca="false">COUNTIFS('Control Library'!$A$5:$A$50,"AI-CTRL-024",'Control Library'!$R$5:$R$50,"Implemented")+COUNTIFS('Control Library'!$A$5:$A$50,"AI-CTRL-030",'Control Library'!$R$5:$R$50,"Implemented")+COUNTIFS('Control Library'!$A$5:$A$50,"AI-CTRL-032",'Control Library'!$R$5:$R$50,"Implemented")</f>
        <v>0</v>
      </c>
      <c r="K156" s="43" t="str">
        <f aca="false">IF(I156=0,"No wiki control",IF(J156=I156,"Fully covered",IF(J156=0,"Not covered","Partly covered")))</f>
        <v>Not covered</v>
      </c>
      <c r="L156" s="9" t="s">
        <v>1005</v>
      </c>
    </row>
    <row r="157" customFormat="false" ht="23.85" hidden="false" customHeight="false" outlineLevel="0" collapsed="false">
      <c r="A157" s="47" t="s">
        <v>573</v>
      </c>
      <c r="B157" s="47" t="s">
        <v>570</v>
      </c>
      <c r="C157" s="5" t="s">
        <v>1094</v>
      </c>
      <c r="D157" s="6" t="s">
        <v>1095</v>
      </c>
      <c r="E157" s="6" t="s">
        <v>1096</v>
      </c>
      <c r="F157" s="6" t="s">
        <v>730</v>
      </c>
      <c r="G157" s="6" t="s">
        <v>1097</v>
      </c>
      <c r="H157" s="6"/>
      <c r="I157" s="26" t="n">
        <v>3</v>
      </c>
      <c r="J157" s="26" t="n">
        <f aca="false">COUNTIFS('Control Library'!$A$5:$A$50,"AI-CTRL-013",'Control Library'!$R$5:$R$50,"Implemented")+COUNTIFS('Control Library'!$A$5:$A$50,"AI-CTRL-041",'Control Library'!$R$5:$R$50,"Implemented")+COUNTIFS('Control Library'!$A$5:$A$50,"AI-CTRL-042",'Control Library'!$R$5:$R$50,"Implemented")</f>
        <v>0</v>
      </c>
      <c r="K157" s="43" t="str">
        <f aca="false">IF(I157=0,"No wiki control",IF(J157=I157,"Fully covered",IF(J157=0,"Not covered","Partly covered")))</f>
        <v>Not covered</v>
      </c>
      <c r="L157" s="9" t="s">
        <v>1005</v>
      </c>
    </row>
    <row r="158" customFormat="false" ht="23.85" hidden="false" customHeight="false" outlineLevel="0" collapsed="false">
      <c r="A158" s="47" t="s">
        <v>573</v>
      </c>
      <c r="B158" s="47" t="s">
        <v>570</v>
      </c>
      <c r="C158" s="5" t="s">
        <v>1098</v>
      </c>
      <c r="D158" s="6" t="s">
        <v>1023</v>
      </c>
      <c r="E158" s="6"/>
      <c r="F158" s="6" t="s">
        <v>640</v>
      </c>
      <c r="G158" s="6"/>
      <c r="H158" s="6"/>
      <c r="I158" s="26" t="n">
        <v>0</v>
      </c>
      <c r="J158" s="26" t="n">
        <f aca="false">0</f>
        <v>0</v>
      </c>
      <c r="K158" s="43" t="str">
        <f aca="false">IF(I158=0,"No wiki control",IF(J158=I158,"Fully covered",IF(J158=0,"Not covered","Partly covered")))</f>
        <v>No wiki control</v>
      </c>
      <c r="L158" s="9" t="s">
        <v>1005</v>
      </c>
    </row>
    <row r="159" customFormat="false" ht="23.85" hidden="false" customHeight="false" outlineLevel="0" collapsed="false">
      <c r="A159" s="47" t="s">
        <v>573</v>
      </c>
      <c r="B159" s="47" t="s">
        <v>570</v>
      </c>
      <c r="C159" s="5" t="s">
        <v>1099</v>
      </c>
      <c r="D159" s="6" t="s">
        <v>1023</v>
      </c>
      <c r="E159" s="6"/>
      <c r="F159" s="6" t="s">
        <v>640</v>
      </c>
      <c r="G159" s="6"/>
      <c r="H159" s="6"/>
      <c r="I159" s="26" t="n">
        <v>0</v>
      </c>
      <c r="J159" s="26" t="n">
        <f aca="false">0</f>
        <v>0</v>
      </c>
      <c r="K159" s="43" t="str">
        <f aca="false">IF(I159=0,"No wiki control",IF(J159=I159,"Fully covered",IF(J159=0,"Not covered","Partly covered")))</f>
        <v>No wiki control</v>
      </c>
      <c r="L159" s="9" t="s">
        <v>1005</v>
      </c>
    </row>
    <row r="160" customFormat="false" ht="23.85" hidden="false" customHeight="false" outlineLevel="0" collapsed="false">
      <c r="A160" s="47" t="s">
        <v>573</v>
      </c>
      <c r="B160" s="47" t="s">
        <v>570</v>
      </c>
      <c r="C160" s="5" t="s">
        <v>1100</v>
      </c>
      <c r="D160" s="6" t="s">
        <v>478</v>
      </c>
      <c r="E160" s="6" t="s">
        <v>478</v>
      </c>
      <c r="F160" s="6" t="s">
        <v>730</v>
      </c>
      <c r="G160" s="6" t="s">
        <v>481</v>
      </c>
      <c r="H160" s="6"/>
      <c r="I160" s="26" t="n">
        <v>1</v>
      </c>
      <c r="J160" s="26" t="n">
        <f aca="false">COUNTIFS('Control Library'!$A$5:$A$50,"AI-CTRL-038",'Control Library'!$R$5:$R$50,"Implemented")</f>
        <v>0</v>
      </c>
      <c r="K160" s="43" t="str">
        <f aca="false">IF(I160=0,"No wiki control",IF(J160=I160,"Fully covered",IF(J160=0,"Not covered","Partly covered")))</f>
        <v>Not covered</v>
      </c>
      <c r="L160" s="9" t="s">
        <v>1005</v>
      </c>
    </row>
    <row r="161" customFormat="false" ht="23.85" hidden="false" customHeight="false" outlineLevel="0" collapsed="false">
      <c r="A161" s="47" t="s">
        <v>573</v>
      </c>
      <c r="B161" s="47" t="s">
        <v>570</v>
      </c>
      <c r="C161" s="5" t="s">
        <v>1101</v>
      </c>
      <c r="D161" s="6" t="s">
        <v>478</v>
      </c>
      <c r="E161" s="6" t="s">
        <v>478</v>
      </c>
      <c r="F161" s="6" t="s">
        <v>730</v>
      </c>
      <c r="G161" s="6" t="s">
        <v>481</v>
      </c>
      <c r="H161" s="6"/>
      <c r="I161" s="26" t="n">
        <v>1</v>
      </c>
      <c r="J161" s="26" t="n">
        <f aca="false">COUNTIFS('Control Library'!$A$5:$A$50,"AI-CTRL-038",'Control Library'!$R$5:$R$50,"Implemented")</f>
        <v>0</v>
      </c>
      <c r="K161" s="43" t="str">
        <f aca="false">IF(I161=0,"No wiki control",IF(J161=I161,"Fully covered",IF(J161=0,"Not covered","Partly covered")))</f>
        <v>Not covered</v>
      </c>
      <c r="L161" s="9" t="s">
        <v>1005</v>
      </c>
    </row>
    <row r="162" customFormat="false" ht="23.85" hidden="false" customHeight="false" outlineLevel="0" collapsed="false">
      <c r="A162" s="47" t="s">
        <v>573</v>
      </c>
      <c r="B162" s="47" t="s">
        <v>570</v>
      </c>
      <c r="C162" s="5" t="s">
        <v>1102</v>
      </c>
      <c r="D162" s="6" t="s">
        <v>444</v>
      </c>
      <c r="E162" s="6" t="s">
        <v>444</v>
      </c>
      <c r="F162" s="6" t="s">
        <v>730</v>
      </c>
      <c r="G162" s="6" t="s">
        <v>447</v>
      </c>
      <c r="H162" s="6"/>
      <c r="I162" s="26" t="n">
        <v>1</v>
      </c>
      <c r="J162" s="26" t="n">
        <f aca="false">COUNTIFS('Control Library'!$A$5:$A$50,"AI-CTRL-034",'Control Library'!$R$5:$R$50,"Implemented")</f>
        <v>0</v>
      </c>
      <c r="K162" s="43" t="str">
        <f aca="false">IF(I162=0,"No wiki control",IF(J162=I162,"Fully covered",IF(J162=0,"Not covered","Partly covered")))</f>
        <v>Not covered</v>
      </c>
      <c r="L162" s="9" t="s">
        <v>1005</v>
      </c>
    </row>
    <row r="163" customFormat="false" ht="23.85" hidden="false" customHeight="false" outlineLevel="0" collapsed="false">
      <c r="A163" s="47" t="s">
        <v>573</v>
      </c>
      <c r="B163" s="47" t="s">
        <v>570</v>
      </c>
      <c r="C163" s="5" t="s">
        <v>1103</v>
      </c>
      <c r="D163" s="6" t="s">
        <v>1023</v>
      </c>
      <c r="E163" s="6"/>
      <c r="F163" s="6" t="s">
        <v>640</v>
      </c>
      <c r="G163" s="6"/>
      <c r="H163" s="6"/>
      <c r="I163" s="26" t="n">
        <v>0</v>
      </c>
      <c r="J163" s="26" t="n">
        <f aca="false">0</f>
        <v>0</v>
      </c>
      <c r="K163" s="43" t="str">
        <f aca="false">IF(I163=0,"No wiki control",IF(J163=I163,"Fully covered",IF(J163=0,"Not covered","Partly covered")))</f>
        <v>No wiki control</v>
      </c>
      <c r="L163" s="9" t="s">
        <v>1005</v>
      </c>
    </row>
    <row r="164" customFormat="false" ht="23.85" hidden="false" customHeight="false" outlineLevel="0" collapsed="false">
      <c r="A164" s="47" t="s">
        <v>573</v>
      </c>
      <c r="B164" s="47" t="s">
        <v>570</v>
      </c>
      <c r="C164" s="5" t="s">
        <v>1104</v>
      </c>
      <c r="D164" s="6" t="s">
        <v>1023</v>
      </c>
      <c r="E164" s="6"/>
      <c r="F164" s="6" t="s">
        <v>640</v>
      </c>
      <c r="G164" s="6"/>
      <c r="H164" s="6"/>
      <c r="I164" s="26" t="n">
        <v>0</v>
      </c>
      <c r="J164" s="26" t="n">
        <f aca="false">0</f>
        <v>0</v>
      </c>
      <c r="K164" s="43" t="str">
        <f aca="false">IF(I164=0,"No wiki control",IF(J164=I164,"Fully covered",IF(J164=0,"Not covered","Partly covered")))</f>
        <v>No wiki control</v>
      </c>
      <c r="L164" s="9" t="s">
        <v>1005</v>
      </c>
    </row>
    <row r="165" customFormat="false" ht="23.85" hidden="false" customHeight="false" outlineLevel="0" collapsed="false">
      <c r="A165" s="47" t="s">
        <v>573</v>
      </c>
      <c r="B165" s="47" t="s">
        <v>570</v>
      </c>
      <c r="C165" s="5" t="s">
        <v>1105</v>
      </c>
      <c r="D165" s="6" t="s">
        <v>1106</v>
      </c>
      <c r="E165" s="6" t="s">
        <v>1107</v>
      </c>
      <c r="F165" s="6" t="s">
        <v>730</v>
      </c>
      <c r="G165" s="6" t="s">
        <v>1108</v>
      </c>
      <c r="H165" s="6"/>
      <c r="I165" s="26" t="n">
        <v>3</v>
      </c>
      <c r="J165" s="26" t="n">
        <f aca="false">COUNTIFS('Control Library'!$A$5:$A$50,"AI-CTRL-006",'Control Library'!$R$5:$R$50,"Implemented")+COUNTIFS('Control Library'!$A$5:$A$50,"AI-CTRL-008",'Control Library'!$R$5:$R$50,"Implemented")+COUNTIFS('Control Library'!$A$5:$A$50,"AI-CTRL-009",'Control Library'!$R$5:$R$50,"Implemented")</f>
        <v>0</v>
      </c>
      <c r="K165" s="43" t="str">
        <f aca="false">IF(I165=0,"No wiki control",IF(J165=I165,"Fully covered",IF(J165=0,"Not covered","Partly covered")))</f>
        <v>Not covered</v>
      </c>
      <c r="L165" s="9" t="s">
        <v>1005</v>
      </c>
    </row>
    <row r="166" customFormat="false" ht="23.85" hidden="false" customHeight="false" outlineLevel="0" collapsed="false">
      <c r="A166" s="47" t="s">
        <v>573</v>
      </c>
      <c r="B166" s="47" t="s">
        <v>570</v>
      </c>
      <c r="C166" s="5" t="s">
        <v>1109</v>
      </c>
      <c r="D166" s="6" t="s">
        <v>1110</v>
      </c>
      <c r="E166" s="6" t="s">
        <v>1111</v>
      </c>
      <c r="F166" s="6" t="s">
        <v>730</v>
      </c>
      <c r="G166" s="6" t="s">
        <v>1112</v>
      </c>
      <c r="H166" s="6"/>
      <c r="I166" s="26" t="n">
        <v>2</v>
      </c>
      <c r="J166" s="26" t="n">
        <f aca="false">COUNTIFS('Control Library'!$A$5:$A$50,"AI-CTRL-028",'Control Library'!$R$5:$R$50,"Implemented")+COUNTIFS('Control Library'!$A$5:$A$50,"AI-CTRL-039",'Control Library'!$R$5:$R$50,"Implemented")</f>
        <v>0</v>
      </c>
      <c r="K166" s="43" t="str">
        <f aca="false">IF(I166=0,"No wiki control",IF(J166=I166,"Fully covered",IF(J166=0,"Not covered","Partly covered")))</f>
        <v>Not covered</v>
      </c>
      <c r="L166" s="9" t="s">
        <v>1005</v>
      </c>
    </row>
    <row r="167" customFormat="false" ht="23.85" hidden="false" customHeight="false" outlineLevel="0" collapsed="false">
      <c r="A167" s="47" t="s">
        <v>573</v>
      </c>
      <c r="B167" s="47" t="s">
        <v>570</v>
      </c>
      <c r="C167" s="5" t="s">
        <v>1113</v>
      </c>
      <c r="D167" s="6" t="s">
        <v>1114</v>
      </c>
      <c r="E167" s="6" t="s">
        <v>745</v>
      </c>
      <c r="F167" s="6" t="s">
        <v>730</v>
      </c>
      <c r="G167" s="6" t="s">
        <v>746</v>
      </c>
      <c r="H167" s="6"/>
      <c r="I167" s="26" t="n">
        <v>2</v>
      </c>
      <c r="J167" s="26" t="n">
        <f aca="false">COUNTIFS('Control Library'!$A$5:$A$50,"AI-CTRL-034",'Control Library'!$R$5:$R$50,"Implemented")+COUNTIFS('Control Library'!$A$5:$A$50,"AI-CTRL-039",'Control Library'!$R$5:$R$50,"Implemented")</f>
        <v>0</v>
      </c>
      <c r="K167" s="43" t="str">
        <f aca="false">IF(I167=0,"No wiki control",IF(J167=I167,"Fully covered",IF(J167=0,"Not covered","Partly covered")))</f>
        <v>Not covered</v>
      </c>
      <c r="L167" s="9" t="s">
        <v>1005</v>
      </c>
    </row>
    <row r="168" customFormat="false" ht="91" hidden="false" customHeight="false" outlineLevel="0" collapsed="false">
      <c r="A168" s="47" t="s">
        <v>573</v>
      </c>
      <c r="B168" s="47" t="s">
        <v>570</v>
      </c>
      <c r="C168" s="5" t="s">
        <v>1115</v>
      </c>
      <c r="D168" s="6" t="s">
        <v>1116</v>
      </c>
      <c r="E168" s="6" t="s">
        <v>1117</v>
      </c>
      <c r="F168" s="6" t="s">
        <v>730</v>
      </c>
      <c r="G168" s="6" t="s">
        <v>1118</v>
      </c>
      <c r="H168" s="6"/>
      <c r="I168" s="26" t="n">
        <v>19</v>
      </c>
      <c r="J168" s="26" t="n">
        <f aca="false">COUNTIFS('Control Library'!$A$5:$A$50,"AI-CTRL-005",'Control Library'!$R$5:$R$50,"Implemented")+COUNTIFS('Control Library'!$A$5:$A$50,"AI-CTRL-015",'Control Library'!$R$5:$R$50,"Implemented")+COUNTIFS('Control Library'!$A$5:$A$50,"AI-CTRL-016",'Control Library'!$R$5:$R$50,"Implemented")+COUNTIFS('Control Library'!$A$5:$A$50,"AI-CTRL-017",'Control Library'!$R$5:$R$50,"Implemented")+COUNTIFS('Control Library'!$A$5:$A$50,"AI-CTRL-018",'Control Library'!$R$5:$R$50,"Implemented")+COUNTIFS('Control Library'!$A$5:$A$50,"AI-CTRL-019",'Control Library'!$R$5:$R$50,"Implemented")+COUNTIFS('Control Library'!$A$5:$A$50,"AI-CTRL-020",'Control Library'!$R$5:$R$50,"Implemented")+COUNTIFS('Control Library'!$A$5:$A$50,"AI-CTRL-021",'Control Library'!$R$5:$R$50,"Implemented")+COUNTIFS('Control Library'!$A$5:$A$50,"AI-CTRL-022",'Control Library'!$R$5:$R$50,"Implemented")+COUNTIFS('Control Library'!$A$5:$A$50,"AI-CTRL-026",'Control Library'!$R$5:$R$50,"Implemented")+COUNTIFS('Control Library'!$A$5:$A$50,"AI-CTRL-027",'Control Library'!$R$5:$R$50,"Implemented")+COUNTIFS('Control Library'!$A$5:$A$50,"AI-CTRL-028",'Control Library'!$R$5:$R$50,"Implemented")+COUNTIFS('Control Library'!$A$5:$A$50,"AI-CTRL-029",'Control Library'!$R$5:$R$50,"Implemented")+COUNTIFS('Control Library'!$A$5:$A$50,"AI-CTRL-030",'Control Library'!$R$5:$R$50,"Implemented")+COUNTIFS('Control Library'!$A$5:$A$50,"AI-CTRL-032",'Control Library'!$R$5:$R$50,"Implemented")+COUNTIFS('Control Library'!$A$5:$A$50,"AI-CTRL-033",'Control Library'!$R$5:$R$50,"Implemented")+COUNTIFS('Control Library'!$A$5:$A$50,"AI-CTRL-034",'Control Library'!$R$5:$R$50,"Implemented")+COUNTIFS('Control Library'!$A$5:$A$50,"AI-CTRL-036",'Control Library'!$R$5:$R$50,"Implemented")+COUNTIFS('Control Library'!$A$5:$A$50,"AI-CTRL-040",'Control Library'!$R$5:$R$50,"Implemented")</f>
        <v>0</v>
      </c>
      <c r="K168" s="43" t="str">
        <f aca="false">IF(I168=0,"No wiki control",IF(J168=I168,"Fully covered",IF(J168=0,"Not covered","Partly covered")))</f>
        <v>Not covered</v>
      </c>
      <c r="L168" s="9" t="s">
        <v>1005</v>
      </c>
    </row>
    <row r="169" customFormat="false" ht="23.85" hidden="false" customHeight="false" outlineLevel="0" collapsed="false">
      <c r="A169" s="47" t="s">
        <v>573</v>
      </c>
      <c r="B169" s="47" t="s">
        <v>570</v>
      </c>
      <c r="C169" s="5" t="s">
        <v>1119</v>
      </c>
      <c r="D169" s="6" t="s">
        <v>1120</v>
      </c>
      <c r="E169" s="6" t="s">
        <v>1121</v>
      </c>
      <c r="F169" s="6" t="s">
        <v>730</v>
      </c>
      <c r="G169" s="6" t="s">
        <v>1122</v>
      </c>
      <c r="H169" s="6"/>
      <c r="I169" s="26" t="n">
        <v>2</v>
      </c>
      <c r="J169" s="26" t="n">
        <f aca="false">COUNTIFS('Control Library'!$A$5:$A$50,"AI-CTRL-008",'Control Library'!$R$5:$R$50,"Implemented")+COUNTIFS('Control Library'!$A$5:$A$50,"AI-CTRL-015",'Control Library'!$R$5:$R$50,"Implemented")</f>
        <v>0</v>
      </c>
      <c r="K169" s="43" t="str">
        <f aca="false">IF(I169=0,"No wiki control",IF(J169=I169,"Fully covered",IF(J169=0,"Not covered","Partly covered")))</f>
        <v>Not covered</v>
      </c>
      <c r="L169" s="9" t="s">
        <v>1005</v>
      </c>
    </row>
    <row r="170" customFormat="false" ht="23.85" hidden="false" customHeight="false" outlineLevel="0" collapsed="false">
      <c r="A170" s="47" t="s">
        <v>573</v>
      </c>
      <c r="B170" s="47" t="s">
        <v>570</v>
      </c>
      <c r="C170" s="5" t="s">
        <v>1123</v>
      </c>
      <c r="D170" s="6" t="s">
        <v>504</v>
      </c>
      <c r="E170" s="6" t="s">
        <v>504</v>
      </c>
      <c r="F170" s="6" t="s">
        <v>730</v>
      </c>
      <c r="G170" s="6" t="s">
        <v>507</v>
      </c>
      <c r="H170" s="6"/>
      <c r="I170" s="26" t="n">
        <v>1</v>
      </c>
      <c r="J170" s="26" t="n">
        <f aca="false">COUNTIFS('Control Library'!$A$5:$A$50,"AI-CTRL-041",'Control Library'!$R$5:$R$50,"Implemented")</f>
        <v>0</v>
      </c>
      <c r="K170" s="43" t="str">
        <f aca="false">IF(I170=0,"No wiki control",IF(J170=I170,"Fully covered",IF(J170=0,"Not covered","Partly covered")))</f>
        <v>Not covered</v>
      </c>
      <c r="L170" s="9" t="s">
        <v>1005</v>
      </c>
    </row>
    <row r="171" customFormat="false" ht="57.45" hidden="false" customHeight="false" outlineLevel="0" collapsed="false">
      <c r="A171" s="47" t="s">
        <v>573</v>
      </c>
      <c r="B171" s="47" t="s">
        <v>570</v>
      </c>
      <c r="C171" s="5" t="s">
        <v>1124</v>
      </c>
      <c r="D171" s="6" t="s">
        <v>1125</v>
      </c>
      <c r="E171" s="6" t="s">
        <v>1126</v>
      </c>
      <c r="F171" s="6" t="s">
        <v>730</v>
      </c>
      <c r="G171" s="6" t="s">
        <v>1127</v>
      </c>
      <c r="H171" s="6"/>
      <c r="I171" s="26" t="n">
        <v>10</v>
      </c>
      <c r="J171" s="26" t="n">
        <f aca="false">COUNTIFS('Control Library'!$A$5:$A$50,"AI-CTRL-002",'Control Library'!$R$5:$R$50,"Implemented")+COUNTIFS('Control Library'!$A$5:$A$50,"AI-CTRL-003",'Control Library'!$R$5:$R$50,"Implemented")+COUNTIFS('Control Library'!$A$5:$A$50,"AI-CTRL-004",'Control Library'!$R$5:$R$50,"Implemented")+COUNTIFS('Control Library'!$A$5:$A$50,"AI-CTRL-013",'Control Library'!$R$5:$R$50,"Implemented")+COUNTIFS('Control Library'!$A$5:$A$50,"AI-CTRL-017",'Control Library'!$R$5:$R$50,"Implemented")+COUNTIFS('Control Library'!$A$5:$A$50,"AI-CTRL-018",'Control Library'!$R$5:$R$50,"Implemented")+COUNTIFS('Control Library'!$A$5:$A$50,"AI-CTRL-020",'Control Library'!$R$5:$R$50,"Implemented")+COUNTIFS('Control Library'!$A$5:$A$50,"AI-CTRL-021",'Control Library'!$R$5:$R$50,"Implemented")+COUNTIFS('Control Library'!$A$5:$A$50,"AI-CTRL-026",'Control Library'!$R$5:$R$50,"Implemented")+COUNTIFS('Control Library'!$A$5:$A$50,"AI-CTRL-029",'Control Library'!$R$5:$R$50,"Implemented")</f>
        <v>0</v>
      </c>
      <c r="K171" s="43" t="str">
        <f aca="false">IF(I171=0,"No wiki control",IF(J171=I171,"Fully covered",IF(J171=0,"Not covered","Partly covered")))</f>
        <v>Not covered</v>
      </c>
      <c r="L171" s="9" t="s">
        <v>1005</v>
      </c>
    </row>
    <row r="172" customFormat="false" ht="23.85" hidden="false" customHeight="false" outlineLevel="0" collapsed="false">
      <c r="A172" s="47" t="s">
        <v>573</v>
      </c>
      <c r="B172" s="47" t="s">
        <v>570</v>
      </c>
      <c r="C172" s="5" t="s">
        <v>1128</v>
      </c>
      <c r="D172" s="6" t="s">
        <v>504</v>
      </c>
      <c r="E172" s="6" t="s">
        <v>504</v>
      </c>
      <c r="F172" s="6" t="s">
        <v>730</v>
      </c>
      <c r="G172" s="6" t="s">
        <v>507</v>
      </c>
      <c r="H172" s="6"/>
      <c r="I172" s="26" t="n">
        <v>1</v>
      </c>
      <c r="J172" s="26" t="n">
        <f aca="false">COUNTIFS('Control Library'!$A$5:$A$50,"AI-CTRL-041",'Control Library'!$R$5:$R$50,"Implemented")</f>
        <v>0</v>
      </c>
      <c r="K172" s="43" t="str">
        <f aca="false">IF(I172=0,"No wiki control",IF(J172=I172,"Fully covered",IF(J172=0,"Not covered","Partly covered")))</f>
        <v>Not covered</v>
      </c>
      <c r="L172" s="9" t="s">
        <v>1005</v>
      </c>
    </row>
    <row r="173" customFormat="false" ht="23.85" hidden="false" customHeight="false" outlineLevel="0" collapsed="false">
      <c r="A173" s="47" t="s">
        <v>573</v>
      </c>
      <c r="B173" s="47" t="s">
        <v>570</v>
      </c>
      <c r="C173" s="5" t="s">
        <v>1129</v>
      </c>
      <c r="D173" s="6" t="s">
        <v>1023</v>
      </c>
      <c r="E173" s="6"/>
      <c r="F173" s="6" t="s">
        <v>640</v>
      </c>
      <c r="G173" s="6"/>
      <c r="H173" s="6"/>
      <c r="I173" s="26" t="n">
        <v>0</v>
      </c>
      <c r="J173" s="26" t="n">
        <f aca="false">0</f>
        <v>0</v>
      </c>
      <c r="K173" s="43" t="str">
        <f aca="false">IF(I173=0,"No wiki control",IF(J173=I173,"Fully covered",IF(J173=0,"Not covered","Partly covered")))</f>
        <v>No wiki control</v>
      </c>
      <c r="L173" s="9" t="s">
        <v>1005</v>
      </c>
    </row>
    <row r="174" customFormat="false" ht="23.85" hidden="false" customHeight="false" outlineLevel="0" collapsed="false">
      <c r="A174" s="47" t="s">
        <v>573</v>
      </c>
      <c r="B174" s="47" t="s">
        <v>570</v>
      </c>
      <c r="C174" s="5" t="s">
        <v>1130</v>
      </c>
      <c r="D174" s="6" t="s">
        <v>1023</v>
      </c>
      <c r="E174" s="6"/>
      <c r="F174" s="6" t="s">
        <v>640</v>
      </c>
      <c r="G174" s="6"/>
      <c r="H174" s="6"/>
      <c r="I174" s="26" t="n">
        <v>0</v>
      </c>
      <c r="J174" s="26" t="n">
        <f aca="false">0</f>
        <v>0</v>
      </c>
      <c r="K174" s="43" t="str">
        <f aca="false">IF(I174=0,"No wiki control",IF(J174=I174,"Fully covered",IF(J174=0,"Not covered","Partly covered")))</f>
        <v>No wiki control</v>
      </c>
      <c r="L174" s="9" t="s">
        <v>1005</v>
      </c>
    </row>
    <row r="175" customFormat="false" ht="23.85" hidden="false" customHeight="false" outlineLevel="0" collapsed="false">
      <c r="A175" s="47" t="s">
        <v>573</v>
      </c>
      <c r="B175" s="47" t="s">
        <v>570</v>
      </c>
      <c r="C175" s="5" t="s">
        <v>1131</v>
      </c>
      <c r="D175" s="6" t="s">
        <v>239</v>
      </c>
      <c r="E175" s="6" t="s">
        <v>239</v>
      </c>
      <c r="F175" s="6" t="s">
        <v>730</v>
      </c>
      <c r="G175" s="6" t="s">
        <v>243</v>
      </c>
      <c r="H175" s="6"/>
      <c r="I175" s="26" t="n">
        <v>1</v>
      </c>
      <c r="J175" s="26" t="n">
        <f aca="false">COUNTIFS('Control Library'!$A$5:$A$50,"AI-CTRL-009",'Control Library'!$R$5:$R$50,"Implemented")</f>
        <v>0</v>
      </c>
      <c r="K175" s="43" t="str">
        <f aca="false">IF(I175=0,"No wiki control",IF(J175=I175,"Fully covered",IF(J175=0,"Not covered","Partly covered")))</f>
        <v>Not covered</v>
      </c>
      <c r="L175" s="9" t="s">
        <v>1005</v>
      </c>
    </row>
    <row r="176" customFormat="false" ht="23.85" hidden="false" customHeight="false" outlineLevel="0" collapsed="false">
      <c r="A176" s="47" t="s">
        <v>573</v>
      </c>
      <c r="B176" s="47" t="s">
        <v>570</v>
      </c>
      <c r="C176" s="5" t="s">
        <v>1132</v>
      </c>
      <c r="D176" s="6" t="s">
        <v>1023</v>
      </c>
      <c r="E176" s="6"/>
      <c r="F176" s="6" t="s">
        <v>640</v>
      </c>
      <c r="G176" s="6"/>
      <c r="H176" s="6"/>
      <c r="I176" s="26" t="n">
        <v>0</v>
      </c>
      <c r="J176" s="26" t="n">
        <f aca="false">0</f>
        <v>0</v>
      </c>
      <c r="K176" s="43" t="str">
        <f aca="false">IF(I176=0,"No wiki control",IF(J176=I176,"Fully covered",IF(J176=0,"Not covered","Partly covered")))</f>
        <v>No wiki control</v>
      </c>
      <c r="L176" s="9" t="s">
        <v>1005</v>
      </c>
    </row>
    <row r="177" customFormat="false" ht="23.85" hidden="false" customHeight="false" outlineLevel="0" collapsed="false">
      <c r="A177" s="47" t="s">
        <v>573</v>
      </c>
      <c r="B177" s="47" t="s">
        <v>570</v>
      </c>
      <c r="C177" s="5" t="s">
        <v>1133</v>
      </c>
      <c r="D177" s="6" t="s">
        <v>1023</v>
      </c>
      <c r="E177" s="6"/>
      <c r="F177" s="6" t="s">
        <v>640</v>
      </c>
      <c r="G177" s="6"/>
      <c r="H177" s="6"/>
      <c r="I177" s="26" t="n">
        <v>0</v>
      </c>
      <c r="J177" s="26" t="n">
        <f aca="false">0</f>
        <v>0</v>
      </c>
      <c r="K177" s="43" t="str">
        <f aca="false">IF(I177=0,"No wiki control",IF(J177=I177,"Fully covered",IF(J177=0,"Not covered","Partly covered")))</f>
        <v>No wiki control</v>
      </c>
      <c r="L177" s="9" t="s">
        <v>1005</v>
      </c>
    </row>
    <row r="178" customFormat="false" ht="23.85" hidden="false" customHeight="false" outlineLevel="0" collapsed="false">
      <c r="A178" s="47" t="s">
        <v>573</v>
      </c>
      <c r="B178" s="47" t="s">
        <v>570</v>
      </c>
      <c r="C178" s="5" t="s">
        <v>1134</v>
      </c>
      <c r="D178" s="6" t="s">
        <v>1023</v>
      </c>
      <c r="E178" s="6"/>
      <c r="F178" s="6" t="s">
        <v>640</v>
      </c>
      <c r="G178" s="6"/>
      <c r="H178" s="6"/>
      <c r="I178" s="26" t="n">
        <v>0</v>
      </c>
      <c r="J178" s="26" t="n">
        <f aca="false">0</f>
        <v>0</v>
      </c>
      <c r="K178" s="43" t="str">
        <f aca="false">IF(I178=0,"No wiki control",IF(J178=I178,"Fully covered",IF(J178=0,"Not covered","Partly covered")))</f>
        <v>No wiki control</v>
      </c>
      <c r="L178" s="9" t="s">
        <v>1005</v>
      </c>
    </row>
    <row r="179" customFormat="false" ht="23.85" hidden="false" customHeight="false" outlineLevel="0" collapsed="false">
      <c r="A179" s="47" t="s">
        <v>573</v>
      </c>
      <c r="B179" s="47" t="s">
        <v>570</v>
      </c>
      <c r="C179" s="5" t="s">
        <v>1135</v>
      </c>
      <c r="D179" s="6" t="s">
        <v>1023</v>
      </c>
      <c r="E179" s="6"/>
      <c r="F179" s="6" t="s">
        <v>640</v>
      </c>
      <c r="G179" s="6"/>
      <c r="H179" s="6"/>
      <c r="I179" s="26" t="n">
        <v>0</v>
      </c>
      <c r="J179" s="26" t="n">
        <f aca="false">0</f>
        <v>0</v>
      </c>
      <c r="K179" s="43" t="str">
        <f aca="false">IF(I179=0,"No wiki control",IF(J179=I179,"Fully covered",IF(J179=0,"Not covered","Partly covered")))</f>
        <v>No wiki control</v>
      </c>
      <c r="L179" s="9" t="s">
        <v>1005</v>
      </c>
    </row>
    <row r="180" customFormat="false" ht="23.85" hidden="false" customHeight="false" outlineLevel="0" collapsed="false">
      <c r="A180" s="47" t="s">
        <v>573</v>
      </c>
      <c r="B180" s="47" t="s">
        <v>570</v>
      </c>
      <c r="C180" s="5" t="s">
        <v>1136</v>
      </c>
      <c r="D180" s="6" t="s">
        <v>1023</v>
      </c>
      <c r="E180" s="6"/>
      <c r="F180" s="6" t="s">
        <v>640</v>
      </c>
      <c r="G180" s="6"/>
      <c r="H180" s="6"/>
      <c r="I180" s="26" t="n">
        <v>0</v>
      </c>
      <c r="J180" s="26" t="n">
        <f aca="false">0</f>
        <v>0</v>
      </c>
      <c r="K180" s="43" t="str">
        <f aca="false">IF(I180=0,"No wiki control",IF(J180=I180,"Fully covered",IF(J180=0,"Not covered","Partly covered")))</f>
        <v>No wiki control</v>
      </c>
      <c r="L180" s="9" t="s">
        <v>1005</v>
      </c>
    </row>
    <row r="181" customFormat="false" ht="23.85" hidden="false" customHeight="false" outlineLevel="0" collapsed="false">
      <c r="A181" s="47" t="s">
        <v>574</v>
      </c>
      <c r="B181" s="47" t="s">
        <v>570</v>
      </c>
      <c r="C181" s="5" t="s">
        <v>1137</v>
      </c>
      <c r="D181" s="6" t="s">
        <v>1137</v>
      </c>
      <c r="E181" s="6" t="s">
        <v>486</v>
      </c>
      <c r="F181" s="6" t="s">
        <v>730</v>
      </c>
      <c r="G181" s="6" t="s">
        <v>641</v>
      </c>
      <c r="H181" s="6" t="s">
        <v>657</v>
      </c>
      <c r="I181" s="26" t="n">
        <v>1</v>
      </c>
      <c r="J181" s="26" t="n">
        <f aca="false">COUNTIFS('Control Library'!$A$5:$A$50,"AI-CTRL-039",'Control Library'!$R$5:$R$50,"Implemented")</f>
        <v>0</v>
      </c>
      <c r="K181" s="43" t="str">
        <f aca="false">IF(I181=0,"No wiki control",IF(J181=I181,"Fully covered",IF(J181=0,"Not covered","Partly covered")))</f>
        <v>Not covered</v>
      </c>
      <c r="L181" s="9" t="s">
        <v>1138</v>
      </c>
    </row>
    <row r="182" customFormat="false" ht="23.85" hidden="false" customHeight="false" outlineLevel="0" collapsed="false">
      <c r="A182" s="47" t="s">
        <v>574</v>
      </c>
      <c r="B182" s="47" t="s">
        <v>570</v>
      </c>
      <c r="C182" s="5" t="s">
        <v>1139</v>
      </c>
      <c r="D182" s="6" t="s">
        <v>1139</v>
      </c>
      <c r="E182" s="6" t="s">
        <v>1140</v>
      </c>
      <c r="F182" s="6" t="s">
        <v>730</v>
      </c>
      <c r="G182" s="6" t="s">
        <v>641</v>
      </c>
      <c r="H182" s="6" t="s">
        <v>642</v>
      </c>
      <c r="I182" s="26" t="n">
        <v>2</v>
      </c>
      <c r="J182" s="26" t="n">
        <f aca="false">COUNTIFS('Control Library'!$A$5:$A$50,"AI-CTRL-039",'Control Library'!$R$5:$R$50,"Implemented")+COUNTIFS('Control Library'!$A$5:$A$50,"AI-CTRL-045",'Control Library'!$R$5:$R$50,"Implemented")</f>
        <v>0</v>
      </c>
      <c r="K182" s="43" t="str">
        <f aca="false">IF(I182=0,"No wiki control",IF(J182=I182,"Fully covered",IF(J182=0,"Not covered","Partly covered")))</f>
        <v>Not covered</v>
      </c>
      <c r="L182" s="9" t="s">
        <v>1138</v>
      </c>
    </row>
    <row r="183" customFormat="false" ht="23.85" hidden="false" customHeight="false" outlineLevel="0" collapsed="false">
      <c r="A183" s="47" t="s">
        <v>574</v>
      </c>
      <c r="B183" s="47" t="s">
        <v>570</v>
      </c>
      <c r="C183" s="5" t="s">
        <v>1141</v>
      </c>
      <c r="D183" s="6" t="s">
        <v>1141</v>
      </c>
      <c r="E183" s="6" t="s">
        <v>745</v>
      </c>
      <c r="F183" s="6" t="s">
        <v>730</v>
      </c>
      <c r="G183" s="6" t="s">
        <v>901</v>
      </c>
      <c r="H183" s="6" t="s">
        <v>657</v>
      </c>
      <c r="I183" s="26" t="n">
        <v>2</v>
      </c>
      <c r="J183" s="26" t="n">
        <f aca="false">COUNTIFS('Control Library'!$A$5:$A$50,"AI-CTRL-034",'Control Library'!$R$5:$R$50,"Implemented")+COUNTIFS('Control Library'!$A$5:$A$50,"AI-CTRL-039",'Control Library'!$R$5:$R$50,"Implemented")</f>
        <v>0</v>
      </c>
      <c r="K183" s="43" t="str">
        <f aca="false">IF(I183=0,"No wiki control",IF(J183=I183,"Fully covered",IF(J183=0,"Not covered","Partly covered")))</f>
        <v>Not covered</v>
      </c>
      <c r="L183" s="9" t="s">
        <v>1138</v>
      </c>
    </row>
    <row r="184" customFormat="false" ht="23.85" hidden="false" customHeight="false" outlineLevel="0" collapsed="false">
      <c r="A184" s="47" t="s">
        <v>574</v>
      </c>
      <c r="B184" s="47" t="s">
        <v>570</v>
      </c>
      <c r="C184" s="5" t="s">
        <v>1142</v>
      </c>
      <c r="D184" s="6" t="s">
        <v>1142</v>
      </c>
      <c r="E184" s="6" t="s">
        <v>1143</v>
      </c>
      <c r="F184" s="6" t="s">
        <v>730</v>
      </c>
      <c r="G184" s="6" t="s">
        <v>1144</v>
      </c>
      <c r="H184" s="6" t="s">
        <v>642</v>
      </c>
      <c r="I184" s="26" t="n">
        <v>4</v>
      </c>
      <c r="J184" s="26" t="n">
        <f aca="false">COUNTIFS('Control Library'!$A$5:$A$50,"AI-CTRL-002",'Control Library'!$R$5:$R$50,"Implemented")+COUNTIFS('Control Library'!$A$5:$A$50,"AI-CTRL-013",'Control Library'!$R$5:$R$50,"Implemented")+COUNTIFS('Control Library'!$A$5:$A$50,"AI-CTRL-017",'Control Library'!$R$5:$R$50,"Implemented")+COUNTIFS('Control Library'!$A$5:$A$50,"AI-CTRL-042",'Control Library'!$R$5:$R$50,"Implemented")</f>
        <v>0</v>
      </c>
      <c r="K184" s="43" t="str">
        <f aca="false">IF(I184=0,"No wiki control",IF(J184=I184,"Fully covered",IF(J184=0,"Not covered","Partly covered")))</f>
        <v>Not covered</v>
      </c>
      <c r="L184" s="9" t="s">
        <v>1138</v>
      </c>
    </row>
    <row r="185" customFormat="false" ht="23.85" hidden="false" customHeight="false" outlineLevel="0" collapsed="false">
      <c r="A185" s="47" t="s">
        <v>574</v>
      </c>
      <c r="B185" s="47" t="s">
        <v>570</v>
      </c>
      <c r="C185" s="5" t="s">
        <v>1145</v>
      </c>
      <c r="D185" s="6" t="s">
        <v>1145</v>
      </c>
      <c r="E185" s="6" t="s">
        <v>462</v>
      </c>
      <c r="F185" s="6" t="s">
        <v>730</v>
      </c>
      <c r="G185" s="6" t="s">
        <v>1146</v>
      </c>
      <c r="H185" s="6" t="s">
        <v>657</v>
      </c>
      <c r="I185" s="26" t="n">
        <v>1</v>
      </c>
      <c r="J185" s="26" t="n">
        <f aca="false">COUNTIFS('Control Library'!$A$5:$A$50,"AI-CTRL-036",'Control Library'!$R$5:$R$50,"Implemented")</f>
        <v>0</v>
      </c>
      <c r="K185" s="43" t="str">
        <f aca="false">IF(I185=0,"No wiki control",IF(J185=I185,"Fully covered",IF(J185=0,"Not covered","Partly covered")))</f>
        <v>Not covered</v>
      </c>
      <c r="L185" s="9" t="s">
        <v>1138</v>
      </c>
    </row>
    <row r="186" customFormat="false" ht="23.85" hidden="false" customHeight="false" outlineLevel="0" collapsed="false">
      <c r="A186" s="47" t="s">
        <v>574</v>
      </c>
      <c r="B186" s="47" t="s">
        <v>570</v>
      </c>
      <c r="C186" s="5" t="s">
        <v>1147</v>
      </c>
      <c r="D186" s="6" t="s">
        <v>1147</v>
      </c>
      <c r="E186" s="6" t="s">
        <v>1148</v>
      </c>
      <c r="F186" s="6" t="s">
        <v>730</v>
      </c>
      <c r="G186" s="6" t="s">
        <v>897</v>
      </c>
      <c r="H186" s="6" t="s">
        <v>657</v>
      </c>
      <c r="I186" s="26" t="n">
        <v>2</v>
      </c>
      <c r="J186" s="26" t="n">
        <f aca="false">COUNTIFS('Control Library'!$A$5:$A$50,"AI-CTRL-034",'Control Library'!$R$5:$R$50,"Implemented")+COUNTIFS('Control Library'!$A$5:$A$50,"AI-CTRL-041",'Control Library'!$R$5:$R$50,"Implemented")</f>
        <v>0</v>
      </c>
      <c r="K186" s="43" t="str">
        <f aca="false">IF(I186=0,"No wiki control",IF(J186=I186,"Fully covered",IF(J186=0,"Not covered","Partly covered")))</f>
        <v>Not covered</v>
      </c>
      <c r="L186" s="9" t="s">
        <v>1138</v>
      </c>
    </row>
    <row r="187" customFormat="false" ht="23.85" hidden="false" customHeight="false" outlineLevel="0" collapsed="false">
      <c r="A187" s="47" t="s">
        <v>574</v>
      </c>
      <c r="B187" s="47" t="s">
        <v>570</v>
      </c>
      <c r="C187" s="5" t="s">
        <v>1149</v>
      </c>
      <c r="D187" s="6" t="s">
        <v>1149</v>
      </c>
      <c r="E187" s="6" t="s">
        <v>1150</v>
      </c>
      <c r="F187" s="6" t="s">
        <v>730</v>
      </c>
      <c r="G187" s="6" t="s">
        <v>905</v>
      </c>
      <c r="H187" s="6" t="s">
        <v>657</v>
      </c>
      <c r="I187" s="26" t="n">
        <v>3</v>
      </c>
      <c r="J187" s="26" t="n">
        <f aca="false">COUNTIFS('Control Library'!$A$5:$A$50,"AI-CTRL-023",'Control Library'!$R$5:$R$50,"Implemented")+COUNTIFS('Control Library'!$A$5:$A$50,"AI-CTRL-044",'Control Library'!$R$5:$R$50,"Implemented")+COUNTIFS('Control Library'!$A$5:$A$50,"AI-CTRL-045",'Control Library'!$R$5:$R$50,"Implemented")</f>
        <v>0</v>
      </c>
      <c r="K187" s="43" t="str">
        <f aca="false">IF(I187=0,"No wiki control",IF(J187=I187,"Fully covered",IF(J187=0,"Not covered","Partly covered")))</f>
        <v>Not covered</v>
      </c>
      <c r="L187" s="9" t="s">
        <v>1138</v>
      </c>
    </row>
    <row r="188" customFormat="false" ht="23.85" hidden="false" customHeight="false" outlineLevel="0" collapsed="false">
      <c r="A188" s="47" t="s">
        <v>574</v>
      </c>
      <c r="B188" s="47" t="s">
        <v>570</v>
      </c>
      <c r="C188" s="5" t="s">
        <v>1151</v>
      </c>
      <c r="D188" s="6" t="s">
        <v>1151</v>
      </c>
      <c r="E188" s="6" t="s">
        <v>486</v>
      </c>
      <c r="F188" s="6" t="s">
        <v>730</v>
      </c>
      <c r="G188" s="6" t="s">
        <v>901</v>
      </c>
      <c r="H188" s="6" t="s">
        <v>657</v>
      </c>
      <c r="I188" s="26" t="n">
        <v>1</v>
      </c>
      <c r="J188" s="26" t="n">
        <f aca="false">COUNTIFS('Control Library'!$A$5:$A$50,"AI-CTRL-039",'Control Library'!$R$5:$R$50,"Implemented")</f>
        <v>0</v>
      </c>
      <c r="K188" s="43" t="str">
        <f aca="false">IF(I188=0,"No wiki control",IF(J188=I188,"Fully covered",IF(J188=0,"Not covered","Partly covered")))</f>
        <v>Not covered</v>
      </c>
      <c r="L188" s="9" t="s">
        <v>1138</v>
      </c>
    </row>
    <row r="189" customFormat="false" ht="23.85" hidden="false" customHeight="false" outlineLevel="0" collapsed="false">
      <c r="A189" s="47" t="s">
        <v>574</v>
      </c>
      <c r="B189" s="47" t="s">
        <v>570</v>
      </c>
      <c r="C189" s="5" t="s">
        <v>1152</v>
      </c>
      <c r="D189" s="6" t="s">
        <v>1152</v>
      </c>
      <c r="E189" s="6" t="s">
        <v>1153</v>
      </c>
      <c r="F189" s="6" t="s">
        <v>730</v>
      </c>
      <c r="G189" s="6" t="s">
        <v>1154</v>
      </c>
      <c r="H189" s="6" t="s">
        <v>657</v>
      </c>
      <c r="I189" s="26" t="n">
        <v>4</v>
      </c>
      <c r="J189" s="26" t="n">
        <f aca="false">COUNTIFS('Control Library'!$A$5:$A$50,"AI-CTRL-005",'Control Library'!$R$5:$R$50,"Implemented")+COUNTIFS('Control Library'!$A$5:$A$50,"AI-CTRL-028",'Control Library'!$R$5:$R$50,"Implemented")+COUNTIFS('Control Library'!$A$5:$A$50,"AI-CTRL-032",'Control Library'!$R$5:$R$50,"Implemented")+COUNTIFS('Control Library'!$A$5:$A$50,"AI-CTRL-034",'Control Library'!$R$5:$R$50,"Implemented")</f>
        <v>0</v>
      </c>
      <c r="K189" s="43" t="str">
        <f aca="false">IF(I189=0,"No wiki control",IF(J189=I189,"Fully covered",IF(J189=0,"Not covered","Partly covered")))</f>
        <v>Not covered</v>
      </c>
      <c r="L189" s="9" t="s">
        <v>1138</v>
      </c>
    </row>
    <row r="190" customFormat="false" ht="23.85" hidden="false" customHeight="false" outlineLevel="0" collapsed="false">
      <c r="A190" s="47" t="s">
        <v>574</v>
      </c>
      <c r="B190" s="47" t="s">
        <v>570</v>
      </c>
      <c r="C190" s="5" t="s">
        <v>1155</v>
      </c>
      <c r="D190" s="6" t="s">
        <v>1155</v>
      </c>
      <c r="E190" s="6" t="s">
        <v>1156</v>
      </c>
      <c r="F190" s="6" t="s">
        <v>730</v>
      </c>
      <c r="G190" s="6" t="s">
        <v>553</v>
      </c>
      <c r="H190" s="6" t="s">
        <v>642</v>
      </c>
      <c r="I190" s="26" t="n">
        <v>2</v>
      </c>
      <c r="J190" s="26" t="n">
        <f aca="false">COUNTIFS('Control Library'!$A$5:$A$50,"AI-CTRL-012",'Control Library'!$R$5:$R$50,"Implemented")+COUNTIFS('Control Library'!$A$5:$A$50,"AI-CTRL-046",'Control Library'!$R$5:$R$50,"Implemented")</f>
        <v>0</v>
      </c>
      <c r="K190" s="43" t="str">
        <f aca="false">IF(I190=0,"No wiki control",IF(J190=I190,"Fully covered",IF(J190=0,"Not covered","Partly covered")))</f>
        <v>Not covered</v>
      </c>
      <c r="L190" s="9" t="s">
        <v>1138</v>
      </c>
    </row>
    <row r="191" customFormat="false" ht="35.05" hidden="false" customHeight="false" outlineLevel="0" collapsed="false">
      <c r="A191" s="47" t="s">
        <v>574</v>
      </c>
      <c r="B191" s="47" t="s">
        <v>570</v>
      </c>
      <c r="C191" s="5" t="s">
        <v>1157</v>
      </c>
      <c r="D191" s="6" t="s">
        <v>1157</v>
      </c>
      <c r="E191" s="6" t="s">
        <v>486</v>
      </c>
      <c r="F191" s="6" t="s">
        <v>730</v>
      </c>
      <c r="G191" s="6" t="s">
        <v>641</v>
      </c>
      <c r="H191" s="6" t="s">
        <v>657</v>
      </c>
      <c r="I191" s="26" t="n">
        <v>1</v>
      </c>
      <c r="J191" s="26" t="n">
        <f aca="false">COUNTIFS('Control Library'!$A$5:$A$50,"AI-CTRL-039",'Control Library'!$R$5:$R$50,"Implemented")</f>
        <v>0</v>
      </c>
      <c r="K191" s="43" t="str">
        <f aca="false">IF(I191=0,"No wiki control",IF(J191=I191,"Fully covered",IF(J191=0,"Not covered","Partly covered")))</f>
        <v>Not covered</v>
      </c>
      <c r="L191" s="9" t="s">
        <v>1138</v>
      </c>
    </row>
    <row r="192" customFormat="false" ht="35.05" hidden="false" customHeight="false" outlineLevel="0" collapsed="false">
      <c r="A192" s="47" t="s">
        <v>574</v>
      </c>
      <c r="B192" s="47" t="s">
        <v>570</v>
      </c>
      <c r="C192" s="5" t="s">
        <v>1158</v>
      </c>
      <c r="D192" s="6" t="s">
        <v>1158</v>
      </c>
      <c r="E192" s="6" t="s">
        <v>1059</v>
      </c>
      <c r="F192" s="6" t="s">
        <v>730</v>
      </c>
      <c r="G192" s="6" t="s">
        <v>714</v>
      </c>
      <c r="H192" s="6" t="s">
        <v>642</v>
      </c>
      <c r="I192" s="26" t="n">
        <v>3</v>
      </c>
      <c r="J192" s="26" t="n">
        <f aca="false">COUNTIFS('Control Library'!$A$5:$A$50,"AI-CTRL-014",'Control Library'!$R$5:$R$50,"Implemented")+COUNTIFS('Control Library'!$A$5:$A$50,"AI-CTRL-024",'Control Library'!$R$5:$R$50,"Implemented")+COUNTIFS('Control Library'!$A$5:$A$50,"AI-CTRL-031",'Control Library'!$R$5:$R$50,"Implemented")</f>
        <v>0</v>
      </c>
      <c r="K192" s="43" t="str">
        <f aca="false">IF(I192=0,"No wiki control",IF(J192=I192,"Fully covered",IF(J192=0,"Not covered","Partly covered")))</f>
        <v>Not covered</v>
      </c>
      <c r="L192" s="9" t="s">
        <v>1138</v>
      </c>
    </row>
    <row r="193" customFormat="false" ht="23.85" hidden="false" customHeight="false" outlineLevel="0" collapsed="false">
      <c r="A193" s="47" t="s">
        <v>575</v>
      </c>
      <c r="B193" s="47" t="s">
        <v>570</v>
      </c>
      <c r="C193" s="5" t="s">
        <v>1159</v>
      </c>
      <c r="D193" s="6" t="s">
        <v>1160</v>
      </c>
      <c r="E193" s="6" t="s">
        <v>779</v>
      </c>
      <c r="F193" s="6" t="s">
        <v>730</v>
      </c>
      <c r="G193" s="6" t="s">
        <v>303</v>
      </c>
      <c r="H193" s="6" t="s">
        <v>642</v>
      </c>
      <c r="I193" s="26" t="n">
        <v>2</v>
      </c>
      <c r="J193" s="26" t="n">
        <f aca="false">COUNTIFS('Control Library'!$A$5:$A$50,"AI-CTRL-016",'Control Library'!$R$5:$R$50,"Implemented")+COUNTIFS('Control Library'!$A$5:$A$50,"AI-CTRL-018",'Control Library'!$R$5:$R$50,"Implemented")</f>
        <v>0</v>
      </c>
      <c r="K193" s="43" t="str">
        <f aca="false">IF(I193=0,"No wiki control",IF(J193=I193,"Fully covered",IF(J193=0,"Not covered","Partly covered")))</f>
        <v>Not covered</v>
      </c>
      <c r="L193" s="9" t="s">
        <v>1161</v>
      </c>
    </row>
    <row r="194" customFormat="false" ht="23.85" hidden="false" customHeight="false" outlineLevel="0" collapsed="false">
      <c r="A194" s="47" t="s">
        <v>575</v>
      </c>
      <c r="B194" s="47" t="s">
        <v>570</v>
      </c>
      <c r="C194" s="5" t="s">
        <v>1162</v>
      </c>
      <c r="D194" s="6" t="s">
        <v>1160</v>
      </c>
      <c r="E194" s="6" t="s">
        <v>801</v>
      </c>
      <c r="F194" s="6" t="s">
        <v>730</v>
      </c>
      <c r="G194" s="6" t="s">
        <v>802</v>
      </c>
      <c r="H194" s="6" t="s">
        <v>642</v>
      </c>
      <c r="I194" s="26" t="n">
        <v>2</v>
      </c>
      <c r="J194" s="26" t="n">
        <f aca="false">COUNTIFS('Control Library'!$A$5:$A$50,"AI-CTRL-015",'Control Library'!$R$5:$R$50,"Implemented")+COUNTIFS('Control Library'!$A$5:$A$50,"AI-CTRL-016",'Control Library'!$R$5:$R$50,"Implemented")</f>
        <v>0</v>
      </c>
      <c r="K194" s="43" t="str">
        <f aca="false">IF(I194=0,"No wiki control",IF(J194=I194,"Fully covered",IF(J194=0,"Not covered","Partly covered")))</f>
        <v>Not covered</v>
      </c>
      <c r="L194" s="9" t="s">
        <v>1161</v>
      </c>
    </row>
    <row r="195" customFormat="false" ht="23.85" hidden="false" customHeight="false" outlineLevel="0" collapsed="false">
      <c r="A195" s="47" t="s">
        <v>575</v>
      </c>
      <c r="B195" s="47" t="s">
        <v>570</v>
      </c>
      <c r="C195" s="5" t="s">
        <v>1163</v>
      </c>
      <c r="D195" s="6" t="s">
        <v>1160</v>
      </c>
      <c r="E195" s="6" t="s">
        <v>209</v>
      </c>
      <c r="F195" s="6" t="s">
        <v>730</v>
      </c>
      <c r="G195" s="6" t="s">
        <v>214</v>
      </c>
      <c r="H195" s="6" t="s">
        <v>642</v>
      </c>
      <c r="I195" s="26" t="n">
        <v>1</v>
      </c>
      <c r="J195" s="26" t="n">
        <f aca="false">COUNTIFS('Control Library'!$A$5:$A$50,"AI-CTRL-006",'Control Library'!$R$5:$R$50,"Implemented")</f>
        <v>0</v>
      </c>
      <c r="K195" s="43" t="str">
        <f aca="false">IF(I195=0,"No wiki control",IF(J195=I195,"Fully covered",IF(J195=0,"Not covered","Partly covered")))</f>
        <v>Not covered</v>
      </c>
      <c r="L195" s="9" t="s">
        <v>1161</v>
      </c>
    </row>
    <row r="196" customFormat="false" ht="23.85" hidden="false" customHeight="false" outlineLevel="0" collapsed="false">
      <c r="A196" s="47" t="s">
        <v>575</v>
      </c>
      <c r="B196" s="47" t="s">
        <v>570</v>
      </c>
      <c r="C196" s="5" t="s">
        <v>1164</v>
      </c>
      <c r="D196" s="6" t="s">
        <v>1160</v>
      </c>
      <c r="E196" s="6" t="s">
        <v>801</v>
      </c>
      <c r="F196" s="6" t="s">
        <v>730</v>
      </c>
      <c r="G196" s="6" t="s">
        <v>802</v>
      </c>
      <c r="H196" s="6" t="s">
        <v>657</v>
      </c>
      <c r="I196" s="26" t="n">
        <v>2</v>
      </c>
      <c r="J196" s="26" t="n">
        <f aca="false">COUNTIFS('Control Library'!$A$5:$A$50,"AI-CTRL-015",'Control Library'!$R$5:$R$50,"Implemented")+COUNTIFS('Control Library'!$A$5:$A$50,"AI-CTRL-016",'Control Library'!$R$5:$R$50,"Implemented")</f>
        <v>0</v>
      </c>
      <c r="K196" s="43" t="str">
        <f aca="false">IF(I196=0,"No wiki control",IF(J196=I196,"Fully covered",IF(J196=0,"Not covered","Partly covered")))</f>
        <v>Not covered</v>
      </c>
      <c r="L196" s="9" t="s">
        <v>1161</v>
      </c>
    </row>
    <row r="197" customFormat="false" ht="23.85" hidden="false" customHeight="false" outlineLevel="0" collapsed="false">
      <c r="A197" s="47" t="s">
        <v>575</v>
      </c>
      <c r="B197" s="47" t="s">
        <v>570</v>
      </c>
      <c r="C197" s="5" t="s">
        <v>1165</v>
      </c>
      <c r="D197" s="6" t="s">
        <v>1166</v>
      </c>
      <c r="E197" s="6" t="s">
        <v>1167</v>
      </c>
      <c r="F197" s="6" t="s">
        <v>730</v>
      </c>
      <c r="G197" s="6" t="s">
        <v>1168</v>
      </c>
      <c r="H197" s="6" t="s">
        <v>642</v>
      </c>
      <c r="I197" s="26" t="n">
        <v>2</v>
      </c>
      <c r="J197" s="26" t="n">
        <f aca="false">COUNTIFS('Control Library'!$A$5:$A$50,"AI-CTRL-013",'Control Library'!$R$5:$R$50,"Implemented")+COUNTIFS('Control Library'!$A$5:$A$50,"AI-CTRL-043",'Control Library'!$R$5:$R$50,"Implemented")</f>
        <v>0</v>
      </c>
      <c r="K197" s="43" t="str">
        <f aca="false">IF(I197=0,"No wiki control",IF(J197=I197,"Fully covered",IF(J197=0,"Not covered","Partly covered")))</f>
        <v>Not covered</v>
      </c>
      <c r="L197" s="9" t="s">
        <v>1161</v>
      </c>
    </row>
    <row r="198" customFormat="false" ht="23.85" hidden="false" customHeight="false" outlineLevel="0" collapsed="false">
      <c r="A198" s="47" t="s">
        <v>575</v>
      </c>
      <c r="B198" s="47" t="s">
        <v>570</v>
      </c>
      <c r="C198" s="5" t="s">
        <v>1169</v>
      </c>
      <c r="D198" s="6" t="s">
        <v>1166</v>
      </c>
      <c r="E198" s="6"/>
      <c r="F198" s="6" t="s">
        <v>640</v>
      </c>
      <c r="G198" s="6"/>
      <c r="H198" s="6" t="s">
        <v>1170</v>
      </c>
      <c r="I198" s="26" t="n">
        <v>0</v>
      </c>
      <c r="J198" s="26" t="n">
        <f aca="false">0</f>
        <v>0</v>
      </c>
      <c r="K198" s="43" t="str">
        <f aca="false">IF(I198=0,"No wiki control",IF(J198=I198,"Fully covered",IF(J198=0,"Not covered","Partly covered")))</f>
        <v>No wiki control</v>
      </c>
      <c r="L198" s="9" t="s">
        <v>1161</v>
      </c>
    </row>
    <row r="199" customFormat="false" ht="35.05" hidden="false" customHeight="false" outlineLevel="0" collapsed="false">
      <c r="A199" s="47" t="s">
        <v>575</v>
      </c>
      <c r="B199" s="47" t="s">
        <v>570</v>
      </c>
      <c r="C199" s="5" t="s">
        <v>1171</v>
      </c>
      <c r="D199" s="6" t="s">
        <v>1166</v>
      </c>
      <c r="E199" s="6" t="s">
        <v>1172</v>
      </c>
      <c r="F199" s="6" t="s">
        <v>730</v>
      </c>
      <c r="G199" s="6" t="s">
        <v>1173</v>
      </c>
      <c r="H199" s="6" t="s">
        <v>657</v>
      </c>
      <c r="I199" s="26" t="n">
        <v>3</v>
      </c>
      <c r="J199" s="26" t="n">
        <f aca="false">COUNTIFS('Control Library'!$A$5:$A$50,"AI-CTRL-008",'Control Library'!$R$5:$R$50,"Implemented")+COUNTIFS('Control Library'!$A$5:$A$50,"AI-CTRL-041",'Control Library'!$R$5:$R$50,"Implemented")+COUNTIFS('Control Library'!$A$5:$A$50,"AI-CTRL-045",'Control Library'!$R$5:$R$50,"Implemented")</f>
        <v>0</v>
      </c>
      <c r="K199" s="43" t="str">
        <f aca="false">IF(I199=0,"No wiki control",IF(J199=I199,"Fully covered",IF(J199=0,"Not covered","Partly covered")))</f>
        <v>Not covered</v>
      </c>
      <c r="L199" s="9" t="s">
        <v>1161</v>
      </c>
    </row>
    <row r="200" customFormat="false" ht="23.85" hidden="false" customHeight="false" outlineLevel="0" collapsed="false">
      <c r="A200" s="47" t="s">
        <v>575</v>
      </c>
      <c r="B200" s="47" t="s">
        <v>570</v>
      </c>
      <c r="C200" s="5" t="s">
        <v>1174</v>
      </c>
      <c r="D200" s="6" t="s">
        <v>1166</v>
      </c>
      <c r="E200" s="6" t="s">
        <v>513</v>
      </c>
      <c r="F200" s="6" t="s">
        <v>730</v>
      </c>
      <c r="G200" s="6" t="s">
        <v>516</v>
      </c>
      <c r="H200" s="6" t="s">
        <v>642</v>
      </c>
      <c r="I200" s="26" t="n">
        <v>1</v>
      </c>
      <c r="J200" s="26" t="n">
        <f aca="false">COUNTIFS('Control Library'!$A$5:$A$50,"AI-CTRL-042",'Control Library'!$R$5:$R$50,"Implemented")</f>
        <v>0</v>
      </c>
      <c r="K200" s="43" t="str">
        <f aca="false">IF(I200=0,"No wiki control",IF(J200=I200,"Fully covered",IF(J200=0,"Not covered","Partly covered")))</f>
        <v>Not covered</v>
      </c>
      <c r="L200" s="9" t="s">
        <v>1161</v>
      </c>
    </row>
    <row r="201" customFormat="false" ht="23.85" hidden="false" customHeight="false" outlineLevel="0" collapsed="false">
      <c r="A201" s="47" t="s">
        <v>575</v>
      </c>
      <c r="B201" s="47" t="s">
        <v>570</v>
      </c>
      <c r="C201" s="5" t="s">
        <v>1175</v>
      </c>
      <c r="D201" s="6" t="s">
        <v>1176</v>
      </c>
      <c r="E201" s="6" t="s">
        <v>263</v>
      </c>
      <c r="F201" s="6" t="s">
        <v>730</v>
      </c>
      <c r="G201" s="6" t="s">
        <v>266</v>
      </c>
      <c r="H201" s="6" t="s">
        <v>642</v>
      </c>
      <c r="I201" s="26" t="n">
        <v>1</v>
      </c>
      <c r="J201" s="26" t="n">
        <f aca="false">COUNTIFS('Control Library'!$A$5:$A$50,"AI-CTRL-012",'Control Library'!$R$5:$R$50,"Implemented")</f>
        <v>0</v>
      </c>
      <c r="K201" s="43" t="str">
        <f aca="false">IF(I201=0,"No wiki control",IF(J201=I201,"Fully covered",IF(J201=0,"Not covered","Partly covered")))</f>
        <v>Not covered</v>
      </c>
      <c r="L201" s="9" t="s">
        <v>1161</v>
      </c>
    </row>
    <row r="202" customFormat="false" ht="23.85" hidden="false" customHeight="false" outlineLevel="0" collapsed="false">
      <c r="A202" s="47" t="s">
        <v>575</v>
      </c>
      <c r="B202" s="47" t="s">
        <v>570</v>
      </c>
      <c r="C202" s="5" t="s">
        <v>1177</v>
      </c>
      <c r="D202" s="6" t="s">
        <v>1176</v>
      </c>
      <c r="E202" s="6" t="s">
        <v>263</v>
      </c>
      <c r="F202" s="6" t="s">
        <v>730</v>
      </c>
      <c r="G202" s="6" t="s">
        <v>266</v>
      </c>
      <c r="H202" s="6" t="s">
        <v>642</v>
      </c>
      <c r="I202" s="26" t="n">
        <v>1</v>
      </c>
      <c r="J202" s="26" t="n">
        <f aca="false">COUNTIFS('Control Library'!$A$5:$A$50,"AI-CTRL-012",'Control Library'!$R$5:$R$50,"Implemented")</f>
        <v>0</v>
      </c>
      <c r="K202" s="43" t="str">
        <f aca="false">IF(I202=0,"No wiki control",IF(J202=I202,"Fully covered",IF(J202=0,"Not covered","Partly covered")))</f>
        <v>Not covered</v>
      </c>
      <c r="L202" s="9" t="s">
        <v>1161</v>
      </c>
    </row>
    <row r="203" customFormat="false" ht="23.85" hidden="false" customHeight="false" outlineLevel="0" collapsed="false">
      <c r="A203" s="47" t="s">
        <v>575</v>
      </c>
      <c r="B203" s="47" t="s">
        <v>570</v>
      </c>
      <c r="C203" s="5" t="s">
        <v>1178</v>
      </c>
      <c r="D203" s="6" t="s">
        <v>1176</v>
      </c>
      <c r="E203" s="6" t="s">
        <v>530</v>
      </c>
      <c r="F203" s="6" t="s">
        <v>730</v>
      </c>
      <c r="G203" s="6" t="s">
        <v>533</v>
      </c>
      <c r="H203" s="6" t="s">
        <v>642</v>
      </c>
      <c r="I203" s="26" t="n">
        <v>1</v>
      </c>
      <c r="J203" s="26" t="n">
        <f aca="false">COUNTIFS('Control Library'!$A$5:$A$50,"AI-CTRL-044",'Control Library'!$R$5:$R$50,"Implemented")</f>
        <v>0</v>
      </c>
      <c r="K203" s="43" t="str">
        <f aca="false">IF(I203=0,"No wiki control",IF(J203=I203,"Fully covered",IF(J203=0,"Not covered","Partly covered")))</f>
        <v>Not covered</v>
      </c>
      <c r="L203" s="9" t="s">
        <v>1161</v>
      </c>
    </row>
    <row r="204" customFormat="false" ht="23.85" hidden="false" customHeight="false" outlineLevel="0" collapsed="false">
      <c r="A204" s="47" t="s">
        <v>575</v>
      </c>
      <c r="B204" s="47" t="s">
        <v>570</v>
      </c>
      <c r="C204" s="5" t="s">
        <v>1179</v>
      </c>
      <c r="D204" s="6" t="s">
        <v>1176</v>
      </c>
      <c r="E204" s="6" t="s">
        <v>826</v>
      </c>
      <c r="F204" s="6" t="s">
        <v>730</v>
      </c>
      <c r="G204" s="6" t="s">
        <v>473</v>
      </c>
      <c r="H204" s="6" t="s">
        <v>642</v>
      </c>
      <c r="I204" s="26" t="n">
        <v>2</v>
      </c>
      <c r="J204" s="26" t="n">
        <f aca="false">COUNTIFS('Control Library'!$A$5:$A$50,"AI-CTRL-011",'Control Library'!$R$5:$R$50,"Implemented")+COUNTIFS('Control Library'!$A$5:$A$50,"AI-CTRL-037",'Control Library'!$R$5:$R$50,"Implemented")</f>
        <v>0</v>
      </c>
      <c r="K204" s="43" t="str">
        <f aca="false">IF(I204=0,"No wiki control",IF(J204=I204,"Fully covered",IF(J204=0,"Not covered","Partly covered")))</f>
        <v>Not covered</v>
      </c>
      <c r="L204" s="9" t="s">
        <v>1161</v>
      </c>
    </row>
    <row r="205" customFormat="false" ht="23.85" hidden="false" customHeight="false" outlineLevel="0" collapsed="false">
      <c r="A205" s="47" t="s">
        <v>575</v>
      </c>
      <c r="B205" s="47" t="s">
        <v>570</v>
      </c>
      <c r="C205" s="5" t="s">
        <v>1180</v>
      </c>
      <c r="D205" s="6" t="s">
        <v>1181</v>
      </c>
      <c r="E205" s="6" t="s">
        <v>1182</v>
      </c>
      <c r="F205" s="6" t="s">
        <v>730</v>
      </c>
      <c r="G205" s="6" t="s">
        <v>1183</v>
      </c>
      <c r="H205" s="6" t="s">
        <v>642</v>
      </c>
      <c r="I205" s="26" t="n">
        <v>4</v>
      </c>
      <c r="J205" s="26" t="n">
        <f aca="false">COUNTIFS('Control Library'!$A$5:$A$50,"AI-CTRL-001",'Control Library'!$R$5:$R$50,"Implemented")+COUNTIFS('Control Library'!$A$5:$A$50,"AI-CTRL-011",'Control Library'!$R$5:$R$50,"Implemented")+COUNTIFS('Control Library'!$A$5:$A$50,"AI-CTRL-014",'Control Library'!$R$5:$R$50,"Implemented")+COUNTIFS('Control Library'!$A$5:$A$50,"AI-CTRL-031",'Control Library'!$R$5:$R$50,"Implemented")</f>
        <v>0</v>
      </c>
      <c r="K205" s="43" t="str">
        <f aca="false">IF(I205=0,"No wiki control",IF(J205=I205,"Fully covered",IF(J205=0,"Not covered","Partly covered")))</f>
        <v>Not covered</v>
      </c>
      <c r="L205" s="9" t="s">
        <v>1161</v>
      </c>
    </row>
    <row r="206" customFormat="false" ht="23.85" hidden="false" customHeight="false" outlineLevel="0" collapsed="false">
      <c r="A206" s="47" t="s">
        <v>575</v>
      </c>
      <c r="B206" s="47" t="s">
        <v>570</v>
      </c>
      <c r="C206" s="5" t="s">
        <v>1184</v>
      </c>
      <c r="D206" s="6" t="s">
        <v>1181</v>
      </c>
      <c r="E206" s="6" t="s">
        <v>1185</v>
      </c>
      <c r="F206" s="6" t="s">
        <v>730</v>
      </c>
      <c r="G206" s="6" t="s">
        <v>1017</v>
      </c>
      <c r="H206" s="6" t="s">
        <v>642</v>
      </c>
      <c r="I206" s="26" t="n">
        <v>2</v>
      </c>
      <c r="J206" s="26" t="n">
        <f aca="false">COUNTIFS('Control Library'!$A$5:$A$50,"AI-CTRL-006",'Control Library'!$R$5:$R$50,"Implemented")+COUNTIFS('Control Library'!$A$5:$A$50,"AI-CTRL-011",'Control Library'!$R$5:$R$50,"Implemented")</f>
        <v>0</v>
      </c>
      <c r="K206" s="43" t="str">
        <f aca="false">IF(I206=0,"No wiki control",IF(J206=I206,"Fully covered",IF(J206=0,"Not covered","Partly covered")))</f>
        <v>Not covered</v>
      </c>
      <c r="L206" s="9" t="s">
        <v>1161</v>
      </c>
    </row>
    <row r="207" customFormat="false" ht="23.85" hidden="false" customHeight="false" outlineLevel="0" collapsed="false">
      <c r="A207" s="47" t="s">
        <v>575</v>
      </c>
      <c r="B207" s="47" t="s">
        <v>570</v>
      </c>
      <c r="C207" s="5" t="s">
        <v>1186</v>
      </c>
      <c r="D207" s="6" t="s">
        <v>1181</v>
      </c>
      <c r="E207" s="6"/>
      <c r="F207" s="6" t="s">
        <v>640</v>
      </c>
      <c r="G207" s="6"/>
      <c r="H207" s="6" t="s">
        <v>1170</v>
      </c>
      <c r="I207" s="26" t="n">
        <v>0</v>
      </c>
      <c r="J207" s="26" t="n">
        <f aca="false">0</f>
        <v>0</v>
      </c>
      <c r="K207" s="43" t="str">
        <f aca="false">IF(I207=0,"No wiki control",IF(J207=I207,"Fully covered",IF(J207=0,"Not covered","Partly covered")))</f>
        <v>No wiki control</v>
      </c>
      <c r="L207" s="9" t="s">
        <v>1161</v>
      </c>
    </row>
    <row r="208" customFormat="false" ht="23.85" hidden="false" customHeight="false" outlineLevel="0" collapsed="false">
      <c r="A208" s="47" t="s">
        <v>575</v>
      </c>
      <c r="B208" s="47" t="s">
        <v>570</v>
      </c>
      <c r="C208" s="5" t="s">
        <v>1187</v>
      </c>
      <c r="D208" s="6" t="s">
        <v>1181</v>
      </c>
      <c r="E208" s="6" t="s">
        <v>371</v>
      </c>
      <c r="F208" s="6" t="s">
        <v>730</v>
      </c>
      <c r="G208" s="6" t="s">
        <v>375</v>
      </c>
      <c r="H208" s="6" t="s">
        <v>1170</v>
      </c>
      <c r="I208" s="26" t="n">
        <v>1</v>
      </c>
      <c r="J208" s="26" t="n">
        <f aca="false">COUNTIFS('Control Library'!$A$5:$A$50,"AI-CTRL-025",'Control Library'!$R$5:$R$50,"Implemented")</f>
        <v>0</v>
      </c>
      <c r="K208" s="43" t="str">
        <f aca="false">IF(I208=0,"No wiki control",IF(J208=I208,"Fully covered",IF(J208=0,"Not covered","Partly covered")))</f>
        <v>Not covered</v>
      </c>
      <c r="L208" s="9" t="s">
        <v>1161</v>
      </c>
    </row>
    <row r="209" customFormat="false" ht="23.85" hidden="false" customHeight="false" outlineLevel="0" collapsed="false">
      <c r="A209" s="47" t="s">
        <v>575</v>
      </c>
      <c r="B209" s="47" t="s">
        <v>570</v>
      </c>
      <c r="C209" s="5" t="s">
        <v>1188</v>
      </c>
      <c r="D209" s="6" t="s">
        <v>1181</v>
      </c>
      <c r="E209" s="6" t="s">
        <v>1189</v>
      </c>
      <c r="F209" s="6" t="s">
        <v>730</v>
      </c>
      <c r="G209" s="6" t="s">
        <v>768</v>
      </c>
      <c r="H209" s="6" t="s">
        <v>642</v>
      </c>
      <c r="I209" s="26" t="n">
        <v>3</v>
      </c>
      <c r="J209" s="26" t="n">
        <f aca="false">COUNTIFS('Control Library'!$A$5:$A$50,"AI-CTRL-007",'Control Library'!$R$5:$R$50,"Implemented")+COUNTIFS('Control Library'!$A$5:$A$50,"AI-CTRL-013",'Control Library'!$R$5:$R$50,"Implemented")+COUNTIFS('Control Library'!$A$5:$A$50,"AI-CTRL-014",'Control Library'!$R$5:$R$50,"Implemented")</f>
        <v>0</v>
      </c>
      <c r="K209" s="43" t="str">
        <f aca="false">IF(I209=0,"No wiki control",IF(J209=I209,"Fully covered",IF(J209=0,"Not covered","Partly covered")))</f>
        <v>Not covered</v>
      </c>
      <c r="L209" s="9" t="s">
        <v>1161</v>
      </c>
    </row>
    <row r="210" customFormat="false" ht="35.05" hidden="false" customHeight="false" outlineLevel="0" collapsed="false">
      <c r="A210" s="47" t="s">
        <v>575</v>
      </c>
      <c r="B210" s="47" t="s">
        <v>570</v>
      </c>
      <c r="C210" s="5" t="s">
        <v>1190</v>
      </c>
      <c r="D210" s="6" t="s">
        <v>1191</v>
      </c>
      <c r="E210" s="6" t="s">
        <v>1192</v>
      </c>
      <c r="F210" s="6" t="s">
        <v>730</v>
      </c>
      <c r="G210" s="6" t="s">
        <v>1193</v>
      </c>
      <c r="H210" s="6" t="s">
        <v>657</v>
      </c>
      <c r="I210" s="26" t="n">
        <v>2</v>
      </c>
      <c r="J210" s="26" t="n">
        <f aca="false">COUNTIFS('Control Library'!$A$5:$A$50,"AI-CTRL-034",'Control Library'!$R$5:$R$50,"Implemented")+COUNTIFS('Control Library'!$A$5:$A$50,"AI-CTRL-038",'Control Library'!$R$5:$R$50,"Implemented")</f>
        <v>0</v>
      </c>
      <c r="K210" s="43" t="str">
        <f aca="false">IF(I210=0,"No wiki control",IF(J210=I210,"Fully covered",IF(J210=0,"Not covered","Partly covered")))</f>
        <v>Not covered</v>
      </c>
      <c r="L210" s="9" t="s">
        <v>1161</v>
      </c>
    </row>
    <row r="211" customFormat="false" ht="23.85" hidden="false" customHeight="false" outlineLevel="0" collapsed="false">
      <c r="A211" s="47" t="s">
        <v>575</v>
      </c>
      <c r="B211" s="47" t="s">
        <v>570</v>
      </c>
      <c r="C211" s="5" t="s">
        <v>1194</v>
      </c>
      <c r="D211" s="6" t="s">
        <v>1191</v>
      </c>
      <c r="E211" s="6" t="s">
        <v>539</v>
      </c>
      <c r="F211" s="6" t="s">
        <v>730</v>
      </c>
      <c r="G211" s="6" t="s">
        <v>542</v>
      </c>
      <c r="H211" s="6" t="s">
        <v>1170</v>
      </c>
      <c r="I211" s="26" t="n">
        <v>1</v>
      </c>
      <c r="J211" s="26" t="n">
        <f aca="false">COUNTIFS('Control Library'!$A$5:$A$50,"AI-CTRL-045",'Control Library'!$R$5:$R$50,"Implemented")</f>
        <v>0</v>
      </c>
      <c r="K211" s="43" t="str">
        <f aca="false">IF(I211=0,"No wiki control",IF(J211=I211,"Fully covered",IF(J211=0,"Not covered","Partly covered")))</f>
        <v>Not covered</v>
      </c>
      <c r="L211" s="9" t="s">
        <v>1161</v>
      </c>
    </row>
    <row r="212" customFormat="false" ht="23.85" hidden="false" customHeight="false" outlineLevel="0" collapsed="false">
      <c r="A212" s="47" t="s">
        <v>575</v>
      </c>
      <c r="B212" s="47" t="s">
        <v>570</v>
      </c>
      <c r="C212" s="5" t="s">
        <v>1195</v>
      </c>
      <c r="D212" s="6" t="s">
        <v>1191</v>
      </c>
      <c r="E212" s="6" t="s">
        <v>1196</v>
      </c>
      <c r="F212" s="6" t="s">
        <v>730</v>
      </c>
      <c r="G212" s="6" t="s">
        <v>1197</v>
      </c>
      <c r="H212" s="6" t="s">
        <v>657</v>
      </c>
      <c r="I212" s="26" t="n">
        <v>3</v>
      </c>
      <c r="J212" s="26" t="n">
        <f aca="false">COUNTIFS('Control Library'!$A$5:$A$50,"AI-CTRL-008",'Control Library'!$R$5:$R$50,"Implemented")+COUNTIFS('Control Library'!$A$5:$A$50,"AI-CTRL-035",'Control Library'!$R$5:$R$50,"Implemented")+COUNTIFS('Control Library'!$A$5:$A$50,"AI-CTRL-039",'Control Library'!$R$5:$R$50,"Implemented")</f>
        <v>0</v>
      </c>
      <c r="K212" s="43" t="str">
        <f aca="false">IF(I212=0,"No wiki control",IF(J212=I212,"Fully covered",IF(J212=0,"Not covered","Partly covered")))</f>
        <v>Not covered</v>
      </c>
      <c r="L212" s="9" t="s">
        <v>1161</v>
      </c>
    </row>
    <row r="213" customFormat="false" ht="35.05" hidden="false" customHeight="false" outlineLevel="0" collapsed="false">
      <c r="A213" s="49" t="s">
        <v>576</v>
      </c>
      <c r="B213" s="49" t="s">
        <v>577</v>
      </c>
      <c r="C213" s="5" t="s">
        <v>1198</v>
      </c>
      <c r="D213" s="6" t="s">
        <v>701</v>
      </c>
      <c r="E213" s="6" t="s">
        <v>1199</v>
      </c>
      <c r="F213" s="6" t="s">
        <v>730</v>
      </c>
      <c r="G213" s="6" t="s">
        <v>1200</v>
      </c>
      <c r="H213" s="6"/>
      <c r="I213" s="26" t="n">
        <v>4</v>
      </c>
      <c r="J213" s="26" t="n">
        <f aca="false">COUNTIFS('Control Library'!$A$5:$A$50,"AI-CTRL-005",'Control Library'!$R$5:$R$50,"Implemented")+COUNTIFS('Control Library'!$A$5:$A$50,"AI-CTRL-021",'Control Library'!$R$5:$R$50,"Implemented")+COUNTIFS('Control Library'!$A$5:$A$50,"AI-CTRL-026",'Control Library'!$R$5:$R$50,"Implemented")+COUNTIFS('Control Library'!$A$5:$A$50,"AI-CTRL-034",'Control Library'!$R$5:$R$50,"Implemented")</f>
        <v>0</v>
      </c>
      <c r="K213" s="43" t="str">
        <f aca="false">IF(I213=0,"No wiki control",IF(J213=I213,"Fully covered",IF(J213=0,"Not covered","Partly covered")))</f>
        <v>Not covered</v>
      </c>
      <c r="L213" s="9" t="s">
        <v>1201</v>
      </c>
    </row>
    <row r="214" customFormat="false" ht="57.45" hidden="false" customHeight="false" outlineLevel="0" collapsed="false">
      <c r="A214" s="49" t="s">
        <v>576</v>
      </c>
      <c r="B214" s="49" t="s">
        <v>577</v>
      </c>
      <c r="C214" s="5" t="s">
        <v>1202</v>
      </c>
      <c r="D214" s="6" t="s">
        <v>1203</v>
      </c>
      <c r="E214" s="6" t="s">
        <v>1204</v>
      </c>
      <c r="F214" s="6" t="s">
        <v>730</v>
      </c>
      <c r="G214" s="6" t="s">
        <v>1205</v>
      </c>
      <c r="H214" s="6"/>
      <c r="I214" s="26" t="n">
        <v>11</v>
      </c>
      <c r="J214" s="26" t="n">
        <f aca="false">COUNTIFS('Control Library'!$A$5:$A$50,"AI-CTRL-002",'Control Library'!$R$5:$R$50,"Implemented")+COUNTIFS('Control Library'!$A$5:$A$50,"AI-CTRL-003",'Control Library'!$R$5:$R$50,"Implemented")+COUNTIFS('Control Library'!$A$5:$A$50,"AI-CTRL-004",'Control Library'!$R$5:$R$50,"Implemented")+COUNTIFS('Control Library'!$A$5:$A$50,"AI-CTRL-010",'Control Library'!$R$5:$R$50,"Implemented")+COUNTIFS('Control Library'!$A$5:$A$50,"AI-CTRL-013",'Control Library'!$R$5:$R$50,"Implemented")+COUNTIFS('Control Library'!$A$5:$A$50,"AI-CTRL-017",'Control Library'!$R$5:$R$50,"Implemented")+COUNTIFS('Control Library'!$A$5:$A$50,"AI-CTRL-018",'Control Library'!$R$5:$R$50,"Implemented")+COUNTIFS('Control Library'!$A$5:$A$50,"AI-CTRL-020",'Control Library'!$R$5:$R$50,"Implemented")+COUNTIFS('Control Library'!$A$5:$A$50,"AI-CTRL-021",'Control Library'!$R$5:$R$50,"Implemented")+COUNTIFS('Control Library'!$A$5:$A$50,"AI-CTRL-028",'Control Library'!$R$5:$R$50,"Implemented")+COUNTIFS('Control Library'!$A$5:$A$50,"AI-CTRL-034",'Control Library'!$R$5:$R$50,"Implemented")</f>
        <v>0</v>
      </c>
      <c r="K214" s="43" t="str">
        <f aca="false">IF(I214=0,"No wiki control",IF(J214=I214,"Fully covered",IF(J214=0,"Not covered","Partly covered")))</f>
        <v>Not covered</v>
      </c>
      <c r="L214" s="9" t="s">
        <v>1201</v>
      </c>
    </row>
    <row r="215" customFormat="false" ht="46.25" hidden="false" customHeight="false" outlineLevel="0" collapsed="false">
      <c r="A215" s="49" t="s">
        <v>576</v>
      </c>
      <c r="B215" s="49" t="s">
        <v>577</v>
      </c>
      <c r="C215" s="5" t="s">
        <v>1206</v>
      </c>
      <c r="D215" s="6" t="s">
        <v>1207</v>
      </c>
      <c r="E215" s="6" t="s">
        <v>1208</v>
      </c>
      <c r="F215" s="6" t="s">
        <v>730</v>
      </c>
      <c r="G215" s="6" t="s">
        <v>1209</v>
      </c>
      <c r="H215" s="6"/>
      <c r="I215" s="26" t="n">
        <v>8</v>
      </c>
      <c r="J215" s="26" t="n">
        <f aca="false">COUNTIFS('Control Library'!$A$5:$A$50,"AI-CTRL-001",'Control Library'!$R$5:$R$50,"Implemented")+COUNTIFS('Control Library'!$A$5:$A$50,"AI-CTRL-004",'Control Library'!$R$5:$R$50,"Implemented")+COUNTIFS('Control Library'!$A$5:$A$50,"AI-CTRL-014",'Control Library'!$R$5:$R$50,"Implemented")+COUNTIFS('Control Library'!$A$5:$A$50,"AI-CTRL-024",'Control Library'!$R$5:$R$50,"Implemented")+COUNTIFS('Control Library'!$A$5:$A$50,"AI-CTRL-030",'Control Library'!$R$5:$R$50,"Implemented")+COUNTIFS('Control Library'!$A$5:$A$50,"AI-CTRL-031",'Control Library'!$R$5:$R$50,"Implemented")+COUNTIFS('Control Library'!$A$5:$A$50,"AI-CTRL-032",'Control Library'!$R$5:$R$50,"Implemented")+COUNTIFS('Control Library'!$A$5:$A$50,"AI-CTRL-034",'Control Library'!$R$5:$R$50,"Implemented")</f>
        <v>0</v>
      </c>
      <c r="K215" s="43" t="str">
        <f aca="false">IF(I215=0,"No wiki control",IF(J215=I215,"Fully covered",IF(J215=0,"Not covered","Partly covered")))</f>
        <v>Not covered</v>
      </c>
      <c r="L215" s="9" t="s">
        <v>1201</v>
      </c>
    </row>
    <row r="216" customFormat="false" ht="23.85" hidden="false" customHeight="false" outlineLevel="0" collapsed="false">
      <c r="A216" s="49" t="s">
        <v>576</v>
      </c>
      <c r="B216" s="49" t="s">
        <v>577</v>
      </c>
      <c r="C216" s="5" t="s">
        <v>1210</v>
      </c>
      <c r="D216" s="6" t="s">
        <v>1211</v>
      </c>
      <c r="E216" s="6" t="s">
        <v>1212</v>
      </c>
      <c r="F216" s="6" t="s">
        <v>730</v>
      </c>
      <c r="G216" s="6" t="s">
        <v>1213</v>
      </c>
      <c r="H216" s="6"/>
      <c r="I216" s="26" t="n">
        <v>5</v>
      </c>
      <c r="J216" s="26" t="n">
        <f aca="false">COUNTIFS('Control Library'!$A$5:$A$50,"AI-CTRL-019",'Control Library'!$R$5:$R$50,"Implemented")+COUNTIFS('Control Library'!$A$5:$A$50,"AI-CTRL-026",'Control Library'!$R$5:$R$50,"Implemented")+COUNTIFS('Control Library'!$A$5:$A$50,"AI-CTRL-029",'Control Library'!$R$5:$R$50,"Implemented")+COUNTIFS('Control Library'!$A$5:$A$50,"AI-CTRL-030",'Control Library'!$R$5:$R$50,"Implemented")+COUNTIFS('Control Library'!$A$5:$A$50,"AI-CTRL-034",'Control Library'!$R$5:$R$50,"Implemented")</f>
        <v>0</v>
      </c>
      <c r="K216" s="43" t="str">
        <f aca="false">IF(I216=0,"No wiki control",IF(J216=I216,"Fully covered",IF(J216=0,"Not covered","Partly covered")))</f>
        <v>Not covered</v>
      </c>
      <c r="L216" s="9" t="s">
        <v>1201</v>
      </c>
    </row>
    <row r="217" customFormat="false" ht="35.05" hidden="false" customHeight="false" outlineLevel="0" collapsed="false">
      <c r="A217" s="49" t="s">
        <v>576</v>
      </c>
      <c r="B217" s="49" t="s">
        <v>577</v>
      </c>
      <c r="C217" s="5" t="s">
        <v>1214</v>
      </c>
      <c r="D217" s="6" t="s">
        <v>1215</v>
      </c>
      <c r="E217" s="6" t="s">
        <v>1216</v>
      </c>
      <c r="F217" s="6" t="s">
        <v>730</v>
      </c>
      <c r="G217" s="6" t="s">
        <v>1217</v>
      </c>
      <c r="H217" s="6"/>
      <c r="I217" s="26" t="n">
        <v>2</v>
      </c>
      <c r="J217" s="26" t="n">
        <f aca="false">COUNTIFS('Control Library'!$A$5:$A$50,"AI-CTRL-020",'Control Library'!$R$5:$R$50,"Implemented")+COUNTIFS('Control Library'!$A$5:$A$50,"AI-CTRL-034",'Control Library'!$R$5:$R$50,"Implemented")</f>
        <v>0</v>
      </c>
      <c r="K217" s="43" t="str">
        <f aca="false">IF(I217=0,"No wiki control",IF(J217=I217,"Fully covered",IF(J217=0,"Not covered","Partly covered")))</f>
        <v>Not covered</v>
      </c>
      <c r="L217" s="9" t="s">
        <v>1201</v>
      </c>
    </row>
    <row r="218" customFormat="false" ht="68.65" hidden="false" customHeight="false" outlineLevel="0" collapsed="false">
      <c r="A218" s="49" t="s">
        <v>576</v>
      </c>
      <c r="B218" s="49" t="s">
        <v>577</v>
      </c>
      <c r="C218" s="5" t="s">
        <v>1218</v>
      </c>
      <c r="D218" s="6" t="s">
        <v>1219</v>
      </c>
      <c r="E218" s="6" t="s">
        <v>1220</v>
      </c>
      <c r="F218" s="6" t="s">
        <v>730</v>
      </c>
      <c r="G218" s="6" t="s">
        <v>1221</v>
      </c>
      <c r="H218" s="6"/>
      <c r="I218" s="26" t="n">
        <v>9</v>
      </c>
      <c r="J218" s="26" t="n">
        <f aca="false">COUNTIFS('Control Library'!$A$5:$A$50,"AI-CTRL-006",'Control Library'!$R$5:$R$50,"Implemented")+COUNTIFS('Control Library'!$A$5:$A$50,"AI-CTRL-015",'Control Library'!$R$5:$R$50,"Implemented")+COUNTIFS('Control Library'!$A$5:$A$50,"AI-CTRL-016",'Control Library'!$R$5:$R$50,"Implemented")+COUNTIFS('Control Library'!$A$5:$A$50,"AI-CTRL-022",'Control Library'!$R$5:$R$50,"Implemented")+COUNTIFS('Control Library'!$A$5:$A$50,"AI-CTRL-023",'Control Library'!$R$5:$R$50,"Implemented")+COUNTIFS('Control Library'!$A$5:$A$50,"AI-CTRL-025",'Control Library'!$R$5:$R$50,"Implemented")+COUNTIFS('Control Library'!$A$5:$A$50,"AI-CTRL-027",'Control Library'!$R$5:$R$50,"Implemented")+COUNTIFS('Control Library'!$A$5:$A$50,"AI-CTRL-034",'Control Library'!$R$5:$R$50,"Implemented")+COUNTIFS('Control Library'!$A$5:$A$50,"AI-CTRL-045",'Control Library'!$R$5:$R$50,"Implemented")</f>
        <v>0</v>
      </c>
      <c r="K218" s="43" t="str">
        <f aca="false">IF(I218=0,"No wiki control",IF(J218=I218,"Fully covered",IF(J218=0,"Not covered","Partly covered")))</f>
        <v>Not covered</v>
      </c>
      <c r="L218" s="9" t="s">
        <v>1201</v>
      </c>
    </row>
    <row r="219" customFormat="false" ht="23.85" hidden="false" customHeight="false" outlineLevel="0" collapsed="false">
      <c r="A219" s="49" t="s">
        <v>576</v>
      </c>
      <c r="B219" s="49" t="s">
        <v>577</v>
      </c>
      <c r="C219" s="5" t="s">
        <v>1222</v>
      </c>
      <c r="D219" s="6" t="s">
        <v>1223</v>
      </c>
      <c r="E219" s="6" t="s">
        <v>1224</v>
      </c>
      <c r="F219" s="6" t="s">
        <v>730</v>
      </c>
      <c r="G219" s="6" t="s">
        <v>1225</v>
      </c>
      <c r="H219" s="6"/>
      <c r="I219" s="26" t="n">
        <v>2</v>
      </c>
      <c r="J219" s="26" t="n">
        <f aca="false">COUNTIFS('Control Library'!$A$5:$A$50,"AI-CTRL-005",'Control Library'!$R$5:$R$50,"Implemented")+COUNTIFS('Control Library'!$A$5:$A$50,"AI-CTRL-034",'Control Library'!$R$5:$R$50,"Implemented")</f>
        <v>0</v>
      </c>
      <c r="K219" s="43" t="str">
        <f aca="false">IF(I219=0,"No wiki control",IF(J219=I219,"Fully covered",IF(J219=0,"Not covered","Partly covered")))</f>
        <v>Not covered</v>
      </c>
      <c r="L219" s="9" t="s">
        <v>1201</v>
      </c>
    </row>
    <row r="220" customFormat="false" ht="23.85" hidden="false" customHeight="false" outlineLevel="0" collapsed="false">
      <c r="A220" s="49" t="s">
        <v>576</v>
      </c>
      <c r="B220" s="49" t="s">
        <v>577</v>
      </c>
      <c r="C220" s="5" t="s">
        <v>1226</v>
      </c>
      <c r="D220" s="6" t="s">
        <v>1227</v>
      </c>
      <c r="E220" s="6" t="s">
        <v>1228</v>
      </c>
      <c r="F220" s="6" t="s">
        <v>730</v>
      </c>
      <c r="G220" s="6" t="s">
        <v>1229</v>
      </c>
      <c r="H220" s="6"/>
      <c r="I220" s="26" t="n">
        <v>3</v>
      </c>
      <c r="J220" s="26" t="n">
        <f aca="false">COUNTIFS('Control Library'!$A$5:$A$50,"AI-CTRL-018",'Control Library'!$R$5:$R$50,"Implemented")+COUNTIFS('Control Library'!$A$5:$A$50,"AI-CTRL-019",'Control Library'!$R$5:$R$50,"Implemented")+COUNTIFS('Control Library'!$A$5:$A$50,"AI-CTRL-034",'Control Library'!$R$5:$R$50,"Implemented")</f>
        <v>0</v>
      </c>
      <c r="K220" s="43" t="str">
        <f aca="false">IF(I220=0,"No wiki control",IF(J220=I220,"Fully covered",IF(J220=0,"Not covered","Partly covered")))</f>
        <v>Not covered</v>
      </c>
      <c r="L220" s="9" t="s">
        <v>1201</v>
      </c>
    </row>
    <row r="221" customFormat="false" ht="23.85" hidden="false" customHeight="false" outlineLevel="0" collapsed="false">
      <c r="A221" s="49" t="s">
        <v>576</v>
      </c>
      <c r="B221" s="49" t="s">
        <v>577</v>
      </c>
      <c r="C221" s="5" t="s">
        <v>1230</v>
      </c>
      <c r="D221" s="6" t="s">
        <v>1231</v>
      </c>
      <c r="E221" s="6" t="s">
        <v>745</v>
      </c>
      <c r="F221" s="6" t="s">
        <v>730</v>
      </c>
      <c r="G221" s="6" t="s">
        <v>746</v>
      </c>
      <c r="H221" s="6"/>
      <c r="I221" s="26" t="n">
        <v>2</v>
      </c>
      <c r="J221" s="26" t="n">
        <f aca="false">COUNTIFS('Control Library'!$A$5:$A$50,"AI-CTRL-034",'Control Library'!$R$5:$R$50,"Implemented")+COUNTIFS('Control Library'!$A$5:$A$50,"AI-CTRL-039",'Control Library'!$R$5:$R$50,"Implemented")</f>
        <v>0</v>
      </c>
      <c r="K221" s="43" t="str">
        <f aca="false">IF(I221=0,"No wiki control",IF(J221=I221,"Fully covered",IF(J221=0,"Not covered","Partly covered")))</f>
        <v>Not covered</v>
      </c>
      <c r="L221" s="9" t="s">
        <v>1201</v>
      </c>
    </row>
    <row r="222" customFormat="false" ht="23.85" hidden="false" customHeight="false" outlineLevel="0" collapsed="false">
      <c r="A222" s="49" t="s">
        <v>576</v>
      </c>
      <c r="B222" s="49" t="s">
        <v>577</v>
      </c>
      <c r="C222" s="5" t="s">
        <v>1232</v>
      </c>
      <c r="D222" s="6" t="s">
        <v>1233</v>
      </c>
      <c r="E222" s="6" t="s">
        <v>1234</v>
      </c>
      <c r="F222" s="6" t="s">
        <v>730</v>
      </c>
      <c r="G222" s="6" t="s">
        <v>1235</v>
      </c>
      <c r="H222" s="6"/>
      <c r="I222" s="26" t="n">
        <v>3</v>
      </c>
      <c r="J222" s="26" t="n">
        <f aca="false">COUNTIFS('Control Library'!$A$5:$A$50,"AI-CTRL-028",'Control Library'!$R$5:$R$50,"Implemented")+COUNTIFS('Control Library'!$A$5:$A$50,"AI-CTRL-034",'Control Library'!$R$5:$R$50,"Implemented")+COUNTIFS('Control Library'!$A$5:$A$50,"AI-CTRL-036",'Control Library'!$R$5:$R$50,"Implemented")</f>
        <v>0</v>
      </c>
      <c r="K222" s="43" t="str">
        <f aca="false">IF(I222=0,"No wiki control",IF(J222=I222,"Fully covered",IF(J222=0,"Not covered","Partly covered")))</f>
        <v>Not covered</v>
      </c>
      <c r="L222" s="9" t="s">
        <v>1201</v>
      </c>
    </row>
    <row r="223" customFormat="false" ht="23.85" hidden="false" customHeight="false" outlineLevel="0" collapsed="false">
      <c r="A223" s="49" t="s">
        <v>578</v>
      </c>
      <c r="B223" s="49" t="s">
        <v>577</v>
      </c>
      <c r="C223" s="5" t="s">
        <v>1236</v>
      </c>
      <c r="D223" s="6" t="s">
        <v>1237</v>
      </c>
      <c r="E223" s="6" t="s">
        <v>199</v>
      </c>
      <c r="F223" s="6" t="s">
        <v>730</v>
      </c>
      <c r="G223" s="6" t="s">
        <v>203</v>
      </c>
      <c r="H223" s="6"/>
      <c r="I223" s="26" t="n">
        <v>1</v>
      </c>
      <c r="J223" s="26" t="n">
        <f aca="false">COUNTIFS('Control Library'!$A$5:$A$50,"AI-CTRL-005",'Control Library'!$R$5:$R$50,"Implemented")</f>
        <v>0</v>
      </c>
      <c r="K223" s="43" t="str">
        <f aca="false">IF(I223=0,"No wiki control",IF(J223=I223,"Fully covered",IF(J223=0,"Not covered","Partly covered")))</f>
        <v>Not covered</v>
      </c>
      <c r="L223" s="9" t="s">
        <v>1201</v>
      </c>
    </row>
    <row r="224" customFormat="false" ht="23.85" hidden="false" customHeight="false" outlineLevel="0" collapsed="false">
      <c r="A224" s="49" t="s">
        <v>578</v>
      </c>
      <c r="B224" s="49" t="s">
        <v>577</v>
      </c>
      <c r="C224" s="5" t="s">
        <v>1238</v>
      </c>
      <c r="D224" s="6" t="s">
        <v>1239</v>
      </c>
      <c r="E224" s="6" t="s">
        <v>1240</v>
      </c>
      <c r="F224" s="6" t="s">
        <v>730</v>
      </c>
      <c r="G224" s="6" t="s">
        <v>367</v>
      </c>
      <c r="H224" s="6"/>
      <c r="I224" s="26" t="n">
        <v>2</v>
      </c>
      <c r="J224" s="26" t="n">
        <f aca="false">COUNTIFS('Control Library'!$A$5:$A$50,"AI-CTRL-022",'Control Library'!$R$5:$R$50,"Implemented")+COUNTIFS('Control Library'!$A$5:$A$50,"AI-CTRL-024",'Control Library'!$R$5:$R$50,"Implemented")</f>
        <v>0</v>
      </c>
      <c r="K224" s="43" t="str">
        <f aca="false">IF(I224=0,"No wiki control",IF(J224=I224,"Fully covered",IF(J224=0,"Not covered","Partly covered")))</f>
        <v>Not covered</v>
      </c>
      <c r="L224" s="9" t="s">
        <v>1201</v>
      </c>
    </row>
    <row r="225" customFormat="false" ht="23.85" hidden="false" customHeight="false" outlineLevel="0" collapsed="false">
      <c r="A225" s="49" t="s">
        <v>578</v>
      </c>
      <c r="B225" s="49" t="s">
        <v>577</v>
      </c>
      <c r="C225" s="5" t="s">
        <v>1241</v>
      </c>
      <c r="D225" s="6" t="s">
        <v>1242</v>
      </c>
      <c r="E225" s="6" t="s">
        <v>801</v>
      </c>
      <c r="F225" s="6" t="s">
        <v>730</v>
      </c>
      <c r="G225" s="6" t="s">
        <v>802</v>
      </c>
      <c r="H225" s="6"/>
      <c r="I225" s="26" t="n">
        <v>2</v>
      </c>
      <c r="J225" s="26" t="n">
        <f aca="false">COUNTIFS('Control Library'!$A$5:$A$50,"AI-CTRL-015",'Control Library'!$R$5:$R$50,"Implemented")+COUNTIFS('Control Library'!$A$5:$A$50,"AI-CTRL-016",'Control Library'!$R$5:$R$50,"Implemented")</f>
        <v>0</v>
      </c>
      <c r="K225" s="43" t="str">
        <f aca="false">IF(I225=0,"No wiki control",IF(J225=I225,"Fully covered",IF(J225=0,"Not covered","Partly covered")))</f>
        <v>Not covered</v>
      </c>
      <c r="L225" s="9" t="s">
        <v>1201</v>
      </c>
    </row>
    <row r="226" customFormat="false" ht="23.85" hidden="false" customHeight="false" outlineLevel="0" collapsed="false">
      <c r="A226" s="49" t="s">
        <v>578</v>
      </c>
      <c r="B226" s="49" t="s">
        <v>577</v>
      </c>
      <c r="C226" s="5" t="s">
        <v>1243</v>
      </c>
      <c r="D226" s="6" t="s">
        <v>1244</v>
      </c>
      <c r="E226" s="6" t="s">
        <v>363</v>
      </c>
      <c r="F226" s="6" t="s">
        <v>730</v>
      </c>
      <c r="G226" s="6" t="s">
        <v>367</v>
      </c>
      <c r="H226" s="6"/>
      <c r="I226" s="26" t="n">
        <v>1</v>
      </c>
      <c r="J226" s="26" t="n">
        <f aca="false">COUNTIFS('Control Library'!$A$5:$A$50,"AI-CTRL-024",'Control Library'!$R$5:$R$50,"Implemented")</f>
        <v>0</v>
      </c>
      <c r="K226" s="43" t="str">
        <f aca="false">IF(I226=0,"No wiki control",IF(J226=I226,"Fully covered",IF(J226=0,"Not covered","Partly covered")))</f>
        <v>Not covered</v>
      </c>
      <c r="L226" s="9" t="s">
        <v>1201</v>
      </c>
    </row>
    <row r="227" customFormat="false" ht="23.85" hidden="false" customHeight="false" outlineLevel="0" collapsed="false">
      <c r="A227" s="49" t="s">
        <v>578</v>
      </c>
      <c r="B227" s="49" t="s">
        <v>577</v>
      </c>
      <c r="C227" s="5" t="s">
        <v>1245</v>
      </c>
      <c r="D227" s="6" t="s">
        <v>1246</v>
      </c>
      <c r="E227" s="6" t="s">
        <v>387</v>
      </c>
      <c r="F227" s="6" t="s">
        <v>730</v>
      </c>
      <c r="G227" s="6" t="s">
        <v>390</v>
      </c>
      <c r="H227" s="6"/>
      <c r="I227" s="26" t="n">
        <v>1</v>
      </c>
      <c r="J227" s="26" t="n">
        <f aca="false">COUNTIFS('Control Library'!$A$5:$A$50,"AI-CTRL-027",'Control Library'!$R$5:$R$50,"Implemented")</f>
        <v>0</v>
      </c>
      <c r="K227" s="43" t="str">
        <f aca="false">IF(I227=0,"No wiki control",IF(J227=I227,"Fully covered",IF(J227=0,"Not covered","Partly covered")))</f>
        <v>Not covered</v>
      </c>
      <c r="L227" s="9" t="s">
        <v>1201</v>
      </c>
    </row>
    <row r="228" customFormat="false" ht="23.85" hidden="false" customHeight="false" outlineLevel="0" collapsed="false">
      <c r="A228" s="49" t="s">
        <v>578</v>
      </c>
      <c r="B228" s="49" t="s">
        <v>577</v>
      </c>
      <c r="C228" s="5" t="s">
        <v>1247</v>
      </c>
      <c r="D228" s="6" t="s">
        <v>1248</v>
      </c>
      <c r="E228" s="6" t="s">
        <v>380</v>
      </c>
      <c r="F228" s="6" t="s">
        <v>730</v>
      </c>
      <c r="G228" s="6" t="s">
        <v>383</v>
      </c>
      <c r="H228" s="6"/>
      <c r="I228" s="26" t="n">
        <v>1</v>
      </c>
      <c r="J228" s="26" t="n">
        <f aca="false">COUNTIFS('Control Library'!$A$5:$A$50,"AI-CTRL-026",'Control Library'!$R$5:$R$50,"Implemented")</f>
        <v>0</v>
      </c>
      <c r="K228" s="43" t="str">
        <f aca="false">IF(I228=0,"No wiki control",IF(J228=I228,"Fully covered",IF(J228=0,"Not covered","Partly covered")))</f>
        <v>Not covered</v>
      </c>
      <c r="L228" s="9" t="s">
        <v>1201</v>
      </c>
    </row>
    <row r="229" customFormat="false" ht="23.85" hidden="false" customHeight="false" outlineLevel="0" collapsed="false">
      <c r="A229" s="49" t="s">
        <v>578</v>
      </c>
      <c r="B229" s="49" t="s">
        <v>577</v>
      </c>
      <c r="C229" s="5" t="s">
        <v>1249</v>
      </c>
      <c r="D229" s="6" t="s">
        <v>1250</v>
      </c>
      <c r="E229" s="6" t="s">
        <v>1251</v>
      </c>
      <c r="F229" s="6" t="s">
        <v>730</v>
      </c>
      <c r="G229" s="6" t="s">
        <v>295</v>
      </c>
      <c r="H229" s="6"/>
      <c r="I229" s="26" t="n">
        <v>2</v>
      </c>
      <c r="J229" s="26" t="n">
        <f aca="false">COUNTIFS('Control Library'!$A$5:$A$50,"AI-CTRL-006",'Control Library'!$R$5:$R$50,"Implemented")+COUNTIFS('Control Library'!$A$5:$A$50,"AI-CTRL-015",'Control Library'!$R$5:$R$50,"Implemented")</f>
        <v>0</v>
      </c>
      <c r="K229" s="43" t="str">
        <f aca="false">IF(I229=0,"No wiki control",IF(J229=I229,"Fully covered",IF(J229=0,"Not covered","Partly covered")))</f>
        <v>Not covered</v>
      </c>
      <c r="L229" s="9" t="s">
        <v>1201</v>
      </c>
    </row>
    <row r="230" customFormat="false" ht="23.85" hidden="false" customHeight="false" outlineLevel="0" collapsed="false">
      <c r="A230" s="49" t="s">
        <v>578</v>
      </c>
      <c r="B230" s="49" t="s">
        <v>577</v>
      </c>
      <c r="C230" s="5" t="s">
        <v>1252</v>
      </c>
      <c r="D230" s="6" t="s">
        <v>1253</v>
      </c>
      <c r="E230" s="6" t="s">
        <v>371</v>
      </c>
      <c r="F230" s="6" t="s">
        <v>730</v>
      </c>
      <c r="G230" s="6" t="s">
        <v>375</v>
      </c>
      <c r="H230" s="6"/>
      <c r="I230" s="26" t="n">
        <v>1</v>
      </c>
      <c r="J230" s="26" t="n">
        <f aca="false">COUNTIFS('Control Library'!$A$5:$A$50,"AI-CTRL-025",'Control Library'!$R$5:$R$50,"Implemented")</f>
        <v>0</v>
      </c>
      <c r="K230" s="43" t="str">
        <f aca="false">IF(I230=0,"No wiki control",IF(J230=I230,"Fully covered",IF(J230=0,"Not covered","Partly covered")))</f>
        <v>Not covered</v>
      </c>
      <c r="L230" s="9" t="s">
        <v>1201</v>
      </c>
    </row>
    <row r="231" customFormat="false" ht="23.85" hidden="false" customHeight="false" outlineLevel="0" collapsed="false">
      <c r="A231" s="49" t="s">
        <v>578</v>
      </c>
      <c r="B231" s="49" t="s">
        <v>577</v>
      </c>
      <c r="C231" s="5" t="s">
        <v>1254</v>
      </c>
      <c r="D231" s="6" t="s">
        <v>1255</v>
      </c>
      <c r="E231" s="6" t="s">
        <v>805</v>
      </c>
      <c r="F231" s="6" t="s">
        <v>730</v>
      </c>
      <c r="G231" s="6" t="s">
        <v>542</v>
      </c>
      <c r="H231" s="6"/>
      <c r="I231" s="26" t="n">
        <v>2</v>
      </c>
      <c r="J231" s="26" t="n">
        <f aca="false">COUNTIFS('Control Library'!$A$5:$A$50,"AI-CTRL-023",'Control Library'!$R$5:$R$50,"Implemented")+COUNTIFS('Control Library'!$A$5:$A$50,"AI-CTRL-045",'Control Library'!$R$5:$R$50,"Implemented")</f>
        <v>0</v>
      </c>
      <c r="K231" s="43" t="str">
        <f aca="false">IF(I231=0,"No wiki control",IF(J231=I231,"Fully covered",IF(J231=0,"Not covered","Partly covered")))</f>
        <v>Not covered</v>
      </c>
      <c r="L231" s="9" t="s">
        <v>1201</v>
      </c>
    </row>
    <row r="232" customFormat="false" ht="23.85" hidden="false" customHeight="false" outlineLevel="0" collapsed="false">
      <c r="A232" s="49" t="s">
        <v>578</v>
      </c>
      <c r="B232" s="49" t="s">
        <v>577</v>
      </c>
      <c r="C232" s="5" t="s">
        <v>1256</v>
      </c>
      <c r="D232" s="6" t="s">
        <v>1257</v>
      </c>
      <c r="E232" s="6" t="s">
        <v>1258</v>
      </c>
      <c r="F232" s="6" t="s">
        <v>730</v>
      </c>
      <c r="G232" s="6" t="s">
        <v>375</v>
      </c>
      <c r="H232" s="6"/>
      <c r="I232" s="26" t="n">
        <v>2</v>
      </c>
      <c r="J232" s="26" t="n">
        <f aca="false">COUNTIFS('Control Library'!$A$5:$A$50,"AI-CTRL-006",'Control Library'!$R$5:$R$50,"Implemented")+COUNTIFS('Control Library'!$A$5:$A$50,"AI-CTRL-025",'Control Library'!$R$5:$R$50,"Implemented")</f>
        <v>0</v>
      </c>
      <c r="K232" s="43" t="str">
        <f aca="false">IF(I232=0,"No wiki control",IF(J232=I232,"Fully covered",IF(J232=0,"Not covered","Partly covered")))</f>
        <v>Not covered</v>
      </c>
      <c r="L232" s="9" t="s">
        <v>1201</v>
      </c>
    </row>
    <row r="233" customFormat="false" ht="23.85" hidden="false" customHeight="false" outlineLevel="0" collapsed="false">
      <c r="A233" s="49" t="s">
        <v>579</v>
      </c>
      <c r="B233" s="49" t="s">
        <v>577</v>
      </c>
      <c r="C233" s="5" t="s">
        <v>1259</v>
      </c>
      <c r="D233" s="6" t="s">
        <v>1260</v>
      </c>
      <c r="E233" s="6" t="s">
        <v>801</v>
      </c>
      <c r="F233" s="6" t="s">
        <v>730</v>
      </c>
      <c r="G233" s="6" t="s">
        <v>722</v>
      </c>
      <c r="H233" s="6" t="s">
        <v>642</v>
      </c>
      <c r="I233" s="26" t="n">
        <v>2</v>
      </c>
      <c r="J233" s="26" t="n">
        <f aca="false">COUNTIFS('Control Library'!$A$5:$A$50,"AI-CTRL-015",'Control Library'!$R$5:$R$50,"Implemented")+COUNTIFS('Control Library'!$A$5:$A$50,"AI-CTRL-016",'Control Library'!$R$5:$R$50,"Implemented")</f>
        <v>0</v>
      </c>
      <c r="K233" s="43" t="str">
        <f aca="false">IF(I233=0,"No wiki control",IF(J233=I233,"Fully covered",IF(J233=0,"Not covered","Partly covered")))</f>
        <v>Not covered</v>
      </c>
      <c r="L233" s="9" t="s">
        <v>1261</v>
      </c>
    </row>
    <row r="234" customFormat="false" ht="23.85" hidden="false" customHeight="false" outlineLevel="0" collapsed="false">
      <c r="A234" s="49" t="s">
        <v>579</v>
      </c>
      <c r="B234" s="49" t="s">
        <v>577</v>
      </c>
      <c r="C234" s="5" t="s">
        <v>1262</v>
      </c>
      <c r="D234" s="6" t="s">
        <v>1263</v>
      </c>
      <c r="E234" s="6" t="s">
        <v>1264</v>
      </c>
      <c r="F234" s="6" t="s">
        <v>730</v>
      </c>
      <c r="G234" s="6" t="s">
        <v>1265</v>
      </c>
      <c r="H234" s="6" t="s">
        <v>642</v>
      </c>
      <c r="I234" s="26" t="n">
        <v>2</v>
      </c>
      <c r="J234" s="26" t="n">
        <f aca="false">COUNTIFS('Control Library'!$A$5:$A$50,"AI-CTRL-016",'Control Library'!$R$5:$R$50,"Implemented")+COUNTIFS('Control Library'!$A$5:$A$50,"AI-CTRL-024",'Control Library'!$R$5:$R$50,"Implemented")</f>
        <v>0</v>
      </c>
      <c r="K234" s="43" t="str">
        <f aca="false">IF(I234=0,"No wiki control",IF(J234=I234,"Fully covered",IF(J234=0,"Not covered","Partly covered")))</f>
        <v>Not covered</v>
      </c>
      <c r="L234" s="9" t="s">
        <v>1261</v>
      </c>
    </row>
    <row r="235" customFormat="false" ht="23.85" hidden="false" customHeight="false" outlineLevel="0" collapsed="false">
      <c r="A235" s="49" t="s">
        <v>579</v>
      </c>
      <c r="B235" s="49" t="s">
        <v>577</v>
      </c>
      <c r="C235" s="5" t="s">
        <v>1266</v>
      </c>
      <c r="D235" s="6" t="s">
        <v>1267</v>
      </c>
      <c r="E235" s="6" t="s">
        <v>1268</v>
      </c>
      <c r="F235" s="6" t="s">
        <v>730</v>
      </c>
      <c r="G235" s="6" t="s">
        <v>1269</v>
      </c>
      <c r="H235" s="6" t="s">
        <v>642</v>
      </c>
      <c r="I235" s="26" t="n">
        <v>2</v>
      </c>
      <c r="J235" s="26" t="n">
        <f aca="false">COUNTIFS('Control Library'!$A$5:$A$50,"AI-CTRL-024",'Control Library'!$R$5:$R$50,"Implemented")+COUNTIFS('Control Library'!$A$5:$A$50,"AI-CTRL-026",'Control Library'!$R$5:$R$50,"Implemented")</f>
        <v>0</v>
      </c>
      <c r="K235" s="43" t="str">
        <f aca="false">IF(I235=0,"No wiki control",IF(J235=I235,"Fully covered",IF(J235=0,"Not covered","Partly covered")))</f>
        <v>Not covered</v>
      </c>
      <c r="L235" s="9" t="s">
        <v>1261</v>
      </c>
    </row>
    <row r="236" customFormat="false" ht="23.85" hidden="false" customHeight="false" outlineLevel="0" collapsed="false">
      <c r="A236" s="49" t="s">
        <v>579</v>
      </c>
      <c r="B236" s="49" t="s">
        <v>577</v>
      </c>
      <c r="C236" s="5" t="s">
        <v>1270</v>
      </c>
      <c r="D236" s="6" t="s">
        <v>1271</v>
      </c>
      <c r="E236" s="6" t="s">
        <v>725</v>
      </c>
      <c r="F236" s="6" t="s">
        <v>730</v>
      </c>
      <c r="G236" s="6" t="s">
        <v>714</v>
      </c>
      <c r="H236" s="6" t="s">
        <v>642</v>
      </c>
      <c r="I236" s="26" t="n">
        <v>2</v>
      </c>
      <c r="J236" s="26" t="n">
        <f aca="false">COUNTIFS('Control Library'!$A$5:$A$50,"AI-CTRL-024",'Control Library'!$R$5:$R$50,"Implemented")+COUNTIFS('Control Library'!$A$5:$A$50,"AI-CTRL-031",'Control Library'!$R$5:$R$50,"Implemented")</f>
        <v>0</v>
      </c>
      <c r="K236" s="43" t="str">
        <f aca="false">IF(I236=0,"No wiki control",IF(J236=I236,"Fully covered",IF(J236=0,"Not covered","Partly covered")))</f>
        <v>Not covered</v>
      </c>
      <c r="L236" s="9" t="s">
        <v>1261</v>
      </c>
    </row>
    <row r="237" customFormat="false" ht="23.85" hidden="false" customHeight="false" outlineLevel="0" collapsed="false">
      <c r="A237" s="49" t="s">
        <v>579</v>
      </c>
      <c r="B237" s="49" t="s">
        <v>577</v>
      </c>
      <c r="C237" s="5" t="s">
        <v>1272</v>
      </c>
      <c r="D237" s="6" t="s">
        <v>1273</v>
      </c>
      <c r="E237" s="6" t="s">
        <v>1274</v>
      </c>
      <c r="F237" s="6" t="s">
        <v>730</v>
      </c>
      <c r="G237" s="6" t="s">
        <v>1269</v>
      </c>
      <c r="H237" s="6" t="s">
        <v>642</v>
      </c>
      <c r="I237" s="26" t="n">
        <v>2</v>
      </c>
      <c r="J237" s="26" t="n">
        <f aca="false">COUNTIFS('Control Library'!$A$5:$A$50,"AI-CTRL-020",'Control Library'!$R$5:$R$50,"Implemented")+COUNTIFS('Control Library'!$A$5:$A$50,"AI-CTRL-027",'Control Library'!$R$5:$R$50,"Implemented")</f>
        <v>0</v>
      </c>
      <c r="K237" s="43" t="str">
        <f aca="false">IF(I237=0,"No wiki control",IF(J237=I237,"Fully covered",IF(J237=0,"Not covered","Partly covered")))</f>
        <v>Not covered</v>
      </c>
      <c r="L237" s="9" t="s">
        <v>1261</v>
      </c>
    </row>
    <row r="238" customFormat="false" ht="23.85" hidden="false" customHeight="false" outlineLevel="0" collapsed="false">
      <c r="A238" s="49" t="s">
        <v>579</v>
      </c>
      <c r="B238" s="49" t="s">
        <v>577</v>
      </c>
      <c r="C238" s="5" t="s">
        <v>1275</v>
      </c>
      <c r="D238" s="6" t="s">
        <v>1276</v>
      </c>
      <c r="E238" s="6" t="s">
        <v>1277</v>
      </c>
      <c r="F238" s="6" t="s">
        <v>730</v>
      </c>
      <c r="G238" s="6" t="s">
        <v>1278</v>
      </c>
      <c r="H238" s="6" t="s">
        <v>642</v>
      </c>
      <c r="I238" s="26" t="n">
        <v>2</v>
      </c>
      <c r="J238" s="26" t="n">
        <f aca="false">COUNTIFS('Control Library'!$A$5:$A$50,"AI-CTRL-005",'Control Library'!$R$5:$R$50,"Implemented")+COUNTIFS('Control Library'!$A$5:$A$50,"AI-CTRL-022",'Control Library'!$R$5:$R$50,"Implemented")</f>
        <v>0</v>
      </c>
      <c r="K238" s="43" t="str">
        <f aca="false">IF(I238=0,"No wiki control",IF(J238=I238,"Fully covered",IF(J238=0,"Not covered","Partly covered")))</f>
        <v>Not covered</v>
      </c>
      <c r="L238" s="9" t="s">
        <v>1261</v>
      </c>
    </row>
    <row r="239" customFormat="false" ht="23.85" hidden="false" customHeight="false" outlineLevel="0" collapsed="false">
      <c r="A239" s="49" t="s">
        <v>579</v>
      </c>
      <c r="B239" s="49" t="s">
        <v>577</v>
      </c>
      <c r="C239" s="5" t="s">
        <v>1279</v>
      </c>
      <c r="D239" s="6" t="s">
        <v>1280</v>
      </c>
      <c r="E239" s="6" t="s">
        <v>801</v>
      </c>
      <c r="F239" s="6" t="s">
        <v>730</v>
      </c>
      <c r="G239" s="6" t="s">
        <v>1281</v>
      </c>
      <c r="H239" s="6" t="s">
        <v>642</v>
      </c>
      <c r="I239" s="26" t="n">
        <v>2</v>
      </c>
      <c r="J239" s="26" t="n">
        <f aca="false">COUNTIFS('Control Library'!$A$5:$A$50,"AI-CTRL-015",'Control Library'!$R$5:$R$50,"Implemented")+COUNTIFS('Control Library'!$A$5:$A$50,"AI-CTRL-016",'Control Library'!$R$5:$R$50,"Implemented")</f>
        <v>0</v>
      </c>
      <c r="K239" s="43" t="str">
        <f aca="false">IF(I239=0,"No wiki control",IF(J239=I239,"Fully covered",IF(J239=0,"Not covered","Partly covered")))</f>
        <v>Not covered</v>
      </c>
      <c r="L239" s="9" t="s">
        <v>1261</v>
      </c>
    </row>
    <row r="240" customFormat="false" ht="23.85" hidden="false" customHeight="false" outlineLevel="0" collapsed="false">
      <c r="A240" s="49" t="s">
        <v>579</v>
      </c>
      <c r="B240" s="49" t="s">
        <v>577</v>
      </c>
      <c r="C240" s="5" t="s">
        <v>1282</v>
      </c>
      <c r="D240" s="6" t="s">
        <v>1283</v>
      </c>
      <c r="E240" s="6" t="s">
        <v>734</v>
      </c>
      <c r="F240" s="6" t="s">
        <v>730</v>
      </c>
      <c r="G240" s="6" t="s">
        <v>930</v>
      </c>
      <c r="H240" s="6" t="s">
        <v>642</v>
      </c>
      <c r="I240" s="26" t="n">
        <v>2</v>
      </c>
      <c r="J240" s="26" t="n">
        <f aca="false">COUNTIFS('Control Library'!$A$5:$A$50,"AI-CTRL-008",'Control Library'!$R$5:$R$50,"Implemented")+COUNTIFS('Control Library'!$A$5:$A$50,"AI-CTRL-009",'Control Library'!$R$5:$R$50,"Implemented")</f>
        <v>0</v>
      </c>
      <c r="K240" s="43" t="str">
        <f aca="false">IF(I240=0,"No wiki control",IF(J240=I240,"Fully covered",IF(J240=0,"Not covered","Partly covered")))</f>
        <v>Not covered</v>
      </c>
      <c r="L240" s="9" t="s">
        <v>1261</v>
      </c>
    </row>
    <row r="241" customFormat="false" ht="23.85" hidden="false" customHeight="false" outlineLevel="0" collapsed="false">
      <c r="A241" s="49" t="s">
        <v>579</v>
      </c>
      <c r="B241" s="49" t="s">
        <v>577</v>
      </c>
      <c r="C241" s="5" t="s">
        <v>1284</v>
      </c>
      <c r="D241" s="6" t="s">
        <v>1285</v>
      </c>
      <c r="E241" s="6" t="s">
        <v>1286</v>
      </c>
      <c r="F241" s="6" t="s">
        <v>730</v>
      </c>
      <c r="G241" s="6" t="s">
        <v>1287</v>
      </c>
      <c r="H241" s="6" t="s">
        <v>657</v>
      </c>
      <c r="I241" s="26" t="n">
        <v>2</v>
      </c>
      <c r="J241" s="26" t="n">
        <f aca="false">COUNTIFS('Control Library'!$A$5:$A$50,"AI-CTRL-001",'Control Library'!$R$5:$R$50,"Implemented")+COUNTIFS('Control Library'!$A$5:$A$50,"AI-CTRL-024",'Control Library'!$R$5:$R$50,"Implemented")</f>
        <v>0</v>
      </c>
      <c r="K241" s="43" t="str">
        <f aca="false">IF(I241=0,"No wiki control",IF(J241=I241,"Fully covered",IF(J241=0,"Not covered","Partly covered")))</f>
        <v>Not covered</v>
      </c>
      <c r="L241" s="9" t="s">
        <v>1261</v>
      </c>
    </row>
    <row r="242" customFormat="false" ht="23.85" hidden="false" customHeight="false" outlineLevel="0" collapsed="false">
      <c r="A242" s="49" t="s">
        <v>579</v>
      </c>
      <c r="B242" s="49" t="s">
        <v>577</v>
      </c>
      <c r="C242" s="5" t="s">
        <v>1288</v>
      </c>
      <c r="D242" s="6" t="s">
        <v>1289</v>
      </c>
      <c r="E242" s="6" t="s">
        <v>1290</v>
      </c>
      <c r="F242" s="6" t="s">
        <v>730</v>
      </c>
      <c r="G242" s="6" t="s">
        <v>1291</v>
      </c>
      <c r="H242" s="6" t="s">
        <v>657</v>
      </c>
      <c r="I242" s="26" t="n">
        <v>2</v>
      </c>
      <c r="J242" s="26" t="n">
        <f aca="false">COUNTIFS('Control Library'!$A$5:$A$50,"AI-CTRL-018",'Control Library'!$R$5:$R$50,"Implemented")+COUNTIFS('Control Library'!$A$5:$A$50,"AI-CTRL-026",'Control Library'!$R$5:$R$50,"Implemented")</f>
        <v>0</v>
      </c>
      <c r="K242" s="43" t="str">
        <f aca="false">IF(I242=0,"No wiki control",IF(J242=I242,"Fully covered",IF(J242=0,"Not covered","Partly covered")))</f>
        <v>Not covered</v>
      </c>
      <c r="L242" s="9" t="s">
        <v>1261</v>
      </c>
    </row>
    <row r="243" customFormat="false" ht="23.85" hidden="false" customHeight="false" outlineLevel="0" collapsed="false">
      <c r="A243" s="49" t="s">
        <v>580</v>
      </c>
      <c r="B243" s="49" t="s">
        <v>577</v>
      </c>
      <c r="C243" s="5" t="s">
        <v>1292</v>
      </c>
      <c r="D243" s="6" t="s">
        <v>1293</v>
      </c>
      <c r="E243" s="6" t="s">
        <v>1294</v>
      </c>
      <c r="F243" s="6" t="s">
        <v>730</v>
      </c>
      <c r="G243" s="6" t="s">
        <v>1060</v>
      </c>
      <c r="H243" s="6"/>
      <c r="I243" s="26" t="n">
        <v>4</v>
      </c>
      <c r="J243" s="26" t="n">
        <f aca="false">COUNTIFS('Control Library'!$A$5:$A$50,"AI-CTRL-014",'Control Library'!$R$5:$R$50,"Implemented")+COUNTIFS('Control Library'!$A$5:$A$50,"AI-CTRL-024",'Control Library'!$R$5:$R$50,"Implemented")+COUNTIFS('Control Library'!$A$5:$A$50,"AI-CTRL-030",'Control Library'!$R$5:$R$50,"Implemented")+COUNTIFS('Control Library'!$A$5:$A$50,"AI-CTRL-031",'Control Library'!$R$5:$R$50,"Implemented")</f>
        <v>0</v>
      </c>
      <c r="K243" s="43" t="str">
        <f aca="false">IF(I243=0,"No wiki control",IF(J243=I243,"Fully covered",IF(J243=0,"Not covered","Partly covered")))</f>
        <v>Not covered</v>
      </c>
      <c r="L243" s="9" t="s">
        <v>1295</v>
      </c>
    </row>
    <row r="244" customFormat="false" ht="23.85" hidden="false" customHeight="false" outlineLevel="0" collapsed="false">
      <c r="A244" s="49" t="s">
        <v>580</v>
      </c>
      <c r="B244" s="49" t="s">
        <v>577</v>
      </c>
      <c r="C244" s="5" t="s">
        <v>1296</v>
      </c>
      <c r="D244" s="6" t="s">
        <v>1297</v>
      </c>
      <c r="E244" s="6" t="s">
        <v>801</v>
      </c>
      <c r="F244" s="6" t="s">
        <v>730</v>
      </c>
      <c r="G244" s="6" t="s">
        <v>802</v>
      </c>
      <c r="H244" s="6"/>
      <c r="I244" s="26" t="n">
        <v>2</v>
      </c>
      <c r="J244" s="26" t="n">
        <f aca="false">COUNTIFS('Control Library'!$A$5:$A$50,"AI-CTRL-015",'Control Library'!$R$5:$R$50,"Implemented")+COUNTIFS('Control Library'!$A$5:$A$50,"AI-CTRL-016",'Control Library'!$R$5:$R$50,"Implemented")</f>
        <v>0</v>
      </c>
      <c r="K244" s="43" t="str">
        <f aca="false">IF(I244=0,"No wiki control",IF(J244=I244,"Fully covered",IF(J244=0,"Not covered","Partly covered")))</f>
        <v>Not covered</v>
      </c>
      <c r="L244" s="9" t="s">
        <v>1295</v>
      </c>
    </row>
    <row r="245" customFormat="false" ht="23.85" hidden="false" customHeight="false" outlineLevel="0" collapsed="false">
      <c r="A245" s="49" t="s">
        <v>580</v>
      </c>
      <c r="B245" s="49" t="s">
        <v>577</v>
      </c>
      <c r="C245" s="5" t="s">
        <v>1298</v>
      </c>
      <c r="D245" s="6" t="s">
        <v>1299</v>
      </c>
      <c r="E245" s="6" t="s">
        <v>395</v>
      </c>
      <c r="F245" s="6" t="s">
        <v>730</v>
      </c>
      <c r="G245" s="6" t="s">
        <v>399</v>
      </c>
      <c r="H245" s="6"/>
      <c r="I245" s="26" t="n">
        <v>1</v>
      </c>
      <c r="J245" s="26" t="n">
        <f aca="false">COUNTIFS('Control Library'!$A$5:$A$50,"AI-CTRL-028",'Control Library'!$R$5:$R$50,"Implemented")</f>
        <v>0</v>
      </c>
      <c r="K245" s="43" t="str">
        <f aca="false">IF(I245=0,"No wiki control",IF(J245=I245,"Fully covered",IF(J245=0,"Not covered","Partly covered")))</f>
        <v>Not covered</v>
      </c>
      <c r="L245" s="9" t="s">
        <v>1295</v>
      </c>
    </row>
    <row r="246" customFormat="false" ht="23.85" hidden="false" customHeight="false" outlineLevel="0" collapsed="false">
      <c r="A246" s="49" t="s">
        <v>580</v>
      </c>
      <c r="B246" s="49" t="s">
        <v>577</v>
      </c>
      <c r="C246" s="5" t="s">
        <v>1300</v>
      </c>
      <c r="D246" s="6" t="s">
        <v>1301</v>
      </c>
      <c r="E246" s="6" t="s">
        <v>1302</v>
      </c>
      <c r="F246" s="6" t="s">
        <v>730</v>
      </c>
      <c r="G246" s="6" t="s">
        <v>399</v>
      </c>
      <c r="H246" s="6"/>
      <c r="I246" s="26" t="n">
        <v>2</v>
      </c>
      <c r="J246" s="26" t="n">
        <f aca="false">COUNTIFS('Control Library'!$A$5:$A$50,"AI-CTRL-028",'Control Library'!$R$5:$R$50,"Implemented")+COUNTIFS('Control Library'!$A$5:$A$50,"AI-CTRL-030",'Control Library'!$R$5:$R$50,"Implemented")</f>
        <v>0</v>
      </c>
      <c r="K246" s="43" t="str">
        <f aca="false">IF(I246=0,"No wiki control",IF(J246=I246,"Fully covered",IF(J246=0,"Not covered","Partly covered")))</f>
        <v>Not covered</v>
      </c>
      <c r="L246" s="9" t="s">
        <v>1295</v>
      </c>
    </row>
    <row r="247" customFormat="false" ht="23.85" hidden="false" customHeight="false" outlineLevel="0" collapsed="false">
      <c r="A247" s="49" t="s">
        <v>580</v>
      </c>
      <c r="B247" s="49" t="s">
        <v>577</v>
      </c>
      <c r="C247" s="5" t="s">
        <v>1303</v>
      </c>
      <c r="D247" s="6" t="s">
        <v>1304</v>
      </c>
      <c r="E247" s="6" t="s">
        <v>404</v>
      </c>
      <c r="F247" s="6" t="s">
        <v>730</v>
      </c>
      <c r="G247" s="6" t="s">
        <v>399</v>
      </c>
      <c r="H247" s="6"/>
      <c r="I247" s="26" t="n">
        <v>1</v>
      </c>
      <c r="J247" s="26" t="n">
        <f aca="false">COUNTIFS('Control Library'!$A$5:$A$50,"AI-CTRL-029",'Control Library'!$R$5:$R$50,"Implemented")</f>
        <v>0</v>
      </c>
      <c r="K247" s="43" t="str">
        <f aca="false">IF(I247=0,"No wiki control",IF(J247=I247,"Fully covered",IF(J247=0,"Not covered","Partly covered")))</f>
        <v>Not covered</v>
      </c>
      <c r="L247" s="9" t="s">
        <v>1295</v>
      </c>
    </row>
    <row r="248" customFormat="false" ht="23.85" hidden="false" customHeight="false" outlineLevel="0" collapsed="false">
      <c r="A248" s="49" t="s">
        <v>580</v>
      </c>
      <c r="B248" s="49" t="s">
        <v>577</v>
      </c>
      <c r="C248" s="5" t="s">
        <v>1305</v>
      </c>
      <c r="D248" s="6" t="s">
        <v>1306</v>
      </c>
      <c r="E248" s="6" t="s">
        <v>395</v>
      </c>
      <c r="F248" s="6" t="s">
        <v>730</v>
      </c>
      <c r="G248" s="6" t="s">
        <v>399</v>
      </c>
      <c r="H248" s="6"/>
      <c r="I248" s="26" t="n">
        <v>1</v>
      </c>
      <c r="J248" s="26" t="n">
        <f aca="false">COUNTIFS('Control Library'!$A$5:$A$50,"AI-CTRL-028",'Control Library'!$R$5:$R$50,"Implemented")</f>
        <v>0</v>
      </c>
      <c r="K248" s="43" t="str">
        <f aca="false">IF(I248=0,"No wiki control",IF(J248=I248,"Fully covered",IF(J248=0,"Not covered","Partly covered")))</f>
        <v>Not covered</v>
      </c>
      <c r="L248" s="9" t="s">
        <v>1295</v>
      </c>
    </row>
    <row r="249" customFormat="false" ht="23.85" hidden="false" customHeight="false" outlineLevel="0" collapsed="false">
      <c r="A249" s="49" t="s">
        <v>580</v>
      </c>
      <c r="B249" s="49" t="s">
        <v>577</v>
      </c>
      <c r="C249" s="5" t="s">
        <v>1307</v>
      </c>
      <c r="D249" s="6" t="s">
        <v>1308</v>
      </c>
      <c r="E249" s="6" t="s">
        <v>782</v>
      </c>
      <c r="F249" s="6" t="s">
        <v>730</v>
      </c>
      <c r="G249" s="6" t="s">
        <v>783</v>
      </c>
      <c r="H249" s="6"/>
      <c r="I249" s="26" t="n">
        <v>2</v>
      </c>
      <c r="J249" s="26" t="n">
        <f aca="false">COUNTIFS('Control Library'!$A$5:$A$50,"AI-CTRL-017",'Control Library'!$R$5:$R$50,"Implemented")+COUNTIFS('Control Library'!$A$5:$A$50,"AI-CTRL-032",'Control Library'!$R$5:$R$50,"Implemented")</f>
        <v>0</v>
      </c>
      <c r="K249" s="43" t="str">
        <f aca="false">IF(I249=0,"No wiki control",IF(J249=I249,"Fully covered",IF(J249=0,"Not covered","Partly covered")))</f>
        <v>Not covered</v>
      </c>
      <c r="L249" s="9" t="s">
        <v>1295</v>
      </c>
    </row>
    <row r="250" customFormat="false" ht="23.85" hidden="false" customHeight="false" outlineLevel="0" collapsed="false">
      <c r="A250" s="49" t="s">
        <v>580</v>
      </c>
      <c r="B250" s="49" t="s">
        <v>577</v>
      </c>
      <c r="C250" s="5" t="s">
        <v>1309</v>
      </c>
      <c r="D250" s="6" t="s">
        <v>1310</v>
      </c>
      <c r="E250" s="6" t="s">
        <v>771</v>
      </c>
      <c r="F250" s="6" t="s">
        <v>730</v>
      </c>
      <c r="G250" s="6" t="s">
        <v>772</v>
      </c>
      <c r="H250" s="6"/>
      <c r="I250" s="26" t="n">
        <v>2</v>
      </c>
      <c r="J250" s="26" t="n">
        <f aca="false">COUNTIFS('Control Library'!$A$5:$A$50,"AI-CTRL-036",'Control Library'!$R$5:$R$50,"Implemented")+COUNTIFS('Control Library'!$A$5:$A$50,"AI-CTRL-040",'Control Library'!$R$5:$R$50,"Implemented")</f>
        <v>0</v>
      </c>
      <c r="K250" s="43" t="str">
        <f aca="false">IF(I250=0,"No wiki control",IF(J250=I250,"Fully covered",IF(J250=0,"Not covered","Partly covered")))</f>
        <v>Not covered</v>
      </c>
      <c r="L250" s="9" t="s">
        <v>1295</v>
      </c>
    </row>
    <row r="251" customFormat="false" ht="23.85" hidden="false" customHeight="false" outlineLevel="0" collapsed="false">
      <c r="A251" s="49" t="s">
        <v>580</v>
      </c>
      <c r="B251" s="49" t="s">
        <v>577</v>
      </c>
      <c r="C251" s="5" t="s">
        <v>1311</v>
      </c>
      <c r="D251" s="6" t="s">
        <v>1312</v>
      </c>
      <c r="E251" s="6" t="s">
        <v>1313</v>
      </c>
      <c r="F251" s="6" t="s">
        <v>730</v>
      </c>
      <c r="G251" s="6" t="s">
        <v>375</v>
      </c>
      <c r="H251" s="6"/>
      <c r="I251" s="26" t="n">
        <v>2</v>
      </c>
      <c r="J251" s="26" t="n">
        <f aca="false">COUNTIFS('Control Library'!$A$5:$A$50,"AI-CTRL-025",'Control Library'!$R$5:$R$50,"Implemented")+COUNTIFS('Control Library'!$A$5:$A$50,"AI-CTRL-036",'Control Library'!$R$5:$R$50,"Implemented")</f>
        <v>0</v>
      </c>
      <c r="K251" s="43" t="str">
        <f aca="false">IF(I251=0,"No wiki control",IF(J251=I251,"Fully covered",IF(J251=0,"Not covered","Partly covered")))</f>
        <v>Not covered</v>
      </c>
      <c r="L251" s="9" t="s">
        <v>1295</v>
      </c>
    </row>
    <row r="252" customFormat="false" ht="23.85" hidden="false" customHeight="false" outlineLevel="0" collapsed="false">
      <c r="A252" s="49" t="s">
        <v>580</v>
      </c>
      <c r="B252" s="49" t="s">
        <v>577</v>
      </c>
      <c r="C252" s="5" t="s">
        <v>1314</v>
      </c>
      <c r="D252" s="6" t="s">
        <v>1315</v>
      </c>
      <c r="E252" s="6" t="s">
        <v>395</v>
      </c>
      <c r="F252" s="6" t="s">
        <v>730</v>
      </c>
      <c r="G252" s="6" t="s">
        <v>399</v>
      </c>
      <c r="H252" s="6"/>
      <c r="I252" s="26" t="n">
        <v>1</v>
      </c>
      <c r="J252" s="26" t="n">
        <f aca="false">COUNTIFS('Control Library'!$A$5:$A$50,"AI-CTRL-028",'Control Library'!$R$5:$R$50,"Implemented")</f>
        <v>0</v>
      </c>
      <c r="K252" s="43" t="str">
        <f aca="false">IF(I252=0,"No wiki control",IF(J252=I252,"Fully covered",IF(J252=0,"Not covered","Partly covered")))</f>
        <v>Not covered</v>
      </c>
      <c r="L252" s="9" t="s">
        <v>1295</v>
      </c>
    </row>
    <row r="253" customFormat="false" ht="23.85" hidden="false" customHeight="false" outlineLevel="0" collapsed="false">
      <c r="A253" s="49" t="s">
        <v>580</v>
      </c>
      <c r="B253" s="49" t="s">
        <v>577</v>
      </c>
      <c r="C253" s="5" t="s">
        <v>1316</v>
      </c>
      <c r="D253" s="6" t="s">
        <v>1317</v>
      </c>
      <c r="E253" s="6" t="s">
        <v>395</v>
      </c>
      <c r="F253" s="6" t="s">
        <v>730</v>
      </c>
      <c r="G253" s="6" t="s">
        <v>399</v>
      </c>
      <c r="H253" s="6"/>
      <c r="I253" s="26" t="n">
        <v>1</v>
      </c>
      <c r="J253" s="26" t="n">
        <f aca="false">COUNTIFS('Control Library'!$A$5:$A$50,"AI-CTRL-028",'Control Library'!$R$5:$R$50,"Implemented")</f>
        <v>0</v>
      </c>
      <c r="K253" s="43" t="str">
        <f aca="false">IF(I253=0,"No wiki control",IF(J253=I253,"Fully covered",IF(J253=0,"Not covered","Partly covered")))</f>
        <v>Not covered</v>
      </c>
      <c r="L253" s="9" t="s">
        <v>1295</v>
      </c>
    </row>
    <row r="254" customFormat="false" ht="23.85" hidden="false" customHeight="false" outlineLevel="0" collapsed="false">
      <c r="A254" s="49" t="s">
        <v>580</v>
      </c>
      <c r="B254" s="49" t="s">
        <v>577</v>
      </c>
      <c r="C254" s="5" t="s">
        <v>1318</v>
      </c>
      <c r="D254" s="6" t="s">
        <v>1319</v>
      </c>
      <c r="E254" s="6" t="s">
        <v>462</v>
      </c>
      <c r="F254" s="6" t="s">
        <v>730</v>
      </c>
      <c r="G254" s="6" t="s">
        <v>465</v>
      </c>
      <c r="H254" s="6"/>
      <c r="I254" s="26" t="n">
        <v>1</v>
      </c>
      <c r="J254" s="26" t="n">
        <f aca="false">COUNTIFS('Control Library'!$A$5:$A$50,"AI-CTRL-036",'Control Library'!$R$5:$R$50,"Implemented")</f>
        <v>0</v>
      </c>
      <c r="K254" s="43" t="str">
        <f aca="false">IF(I254=0,"No wiki control",IF(J254=I254,"Fully covered",IF(J254=0,"Not covered","Partly covered")))</f>
        <v>Not covered</v>
      </c>
      <c r="L254" s="9" t="s">
        <v>1295</v>
      </c>
    </row>
    <row r="255" customFormat="false" ht="23.85" hidden="false" customHeight="false" outlineLevel="0" collapsed="false">
      <c r="A255" s="49" t="s">
        <v>580</v>
      </c>
      <c r="B255" s="49" t="s">
        <v>577</v>
      </c>
      <c r="C255" s="5" t="s">
        <v>1320</v>
      </c>
      <c r="D255" s="6" t="s">
        <v>1321</v>
      </c>
      <c r="E255" s="6" t="s">
        <v>486</v>
      </c>
      <c r="F255" s="6" t="s">
        <v>730</v>
      </c>
      <c r="G255" s="6" t="s">
        <v>490</v>
      </c>
      <c r="H255" s="6"/>
      <c r="I255" s="26" t="n">
        <v>1</v>
      </c>
      <c r="J255" s="26" t="n">
        <f aca="false">COUNTIFS('Control Library'!$A$5:$A$50,"AI-CTRL-039",'Control Library'!$R$5:$R$50,"Implemented")</f>
        <v>0</v>
      </c>
      <c r="K255" s="43" t="str">
        <f aca="false">IF(I255=0,"No wiki control",IF(J255=I255,"Fully covered",IF(J255=0,"Not covered","Partly covered")))</f>
        <v>Not covered</v>
      </c>
      <c r="L255" s="9" t="s">
        <v>1295</v>
      </c>
    </row>
    <row r="256" customFormat="false" ht="23.85" hidden="false" customHeight="false" outlineLevel="0" collapsed="false">
      <c r="A256" s="49" t="s">
        <v>580</v>
      </c>
      <c r="B256" s="49" t="s">
        <v>577</v>
      </c>
      <c r="C256" s="5" t="s">
        <v>1322</v>
      </c>
      <c r="D256" s="6" t="s">
        <v>1323</v>
      </c>
      <c r="E256" s="6" t="s">
        <v>428</v>
      </c>
      <c r="F256" s="6" t="s">
        <v>730</v>
      </c>
      <c r="G256" s="6" t="s">
        <v>431</v>
      </c>
      <c r="H256" s="6"/>
      <c r="I256" s="26" t="n">
        <v>1</v>
      </c>
      <c r="J256" s="26" t="n">
        <f aca="false">COUNTIFS('Control Library'!$A$5:$A$50,"AI-CTRL-032",'Control Library'!$R$5:$R$50,"Implemented")</f>
        <v>0</v>
      </c>
      <c r="K256" s="43" t="str">
        <f aca="false">IF(I256=0,"No wiki control",IF(J256=I256,"Fully covered",IF(J256=0,"Not covered","Partly covered")))</f>
        <v>Not covered</v>
      </c>
      <c r="L256" s="9" t="s">
        <v>1295</v>
      </c>
    </row>
    <row r="257" customFormat="false" ht="23.85" hidden="false" customHeight="false" outlineLevel="0" collapsed="false">
      <c r="A257" s="49" t="s">
        <v>580</v>
      </c>
      <c r="B257" s="49" t="s">
        <v>577</v>
      </c>
      <c r="C257" s="5" t="s">
        <v>1324</v>
      </c>
      <c r="D257" s="6" t="s">
        <v>1325</v>
      </c>
      <c r="E257" s="6" t="s">
        <v>387</v>
      </c>
      <c r="F257" s="6" t="s">
        <v>730</v>
      </c>
      <c r="G257" s="6" t="s">
        <v>390</v>
      </c>
      <c r="H257" s="6"/>
      <c r="I257" s="26" t="n">
        <v>1</v>
      </c>
      <c r="J257" s="26" t="n">
        <f aca="false">COUNTIFS('Control Library'!$A$5:$A$50,"AI-CTRL-027",'Control Library'!$R$5:$R$50,"Implemented")</f>
        <v>0</v>
      </c>
      <c r="K257" s="43" t="str">
        <f aca="false">IF(I257=0,"No wiki control",IF(J257=I257,"Fully covered",IF(J257=0,"Not covered","Partly covered")))</f>
        <v>Not covered</v>
      </c>
      <c r="L257" s="9" t="s">
        <v>1295</v>
      </c>
    </row>
    <row r="258" customFormat="false" ht="23.85" hidden="false" customHeight="false" outlineLevel="0" collapsed="false">
      <c r="A258" s="49" t="s">
        <v>580</v>
      </c>
      <c r="B258" s="49" t="s">
        <v>577</v>
      </c>
      <c r="C258" s="5" t="s">
        <v>1326</v>
      </c>
      <c r="D258" s="6" t="s">
        <v>1327</v>
      </c>
      <c r="E258" s="6" t="s">
        <v>1328</v>
      </c>
      <c r="F258" s="6" t="s">
        <v>730</v>
      </c>
      <c r="G258" s="6" t="s">
        <v>1329</v>
      </c>
      <c r="H258" s="6"/>
      <c r="I258" s="26" t="n">
        <v>2</v>
      </c>
      <c r="J258" s="26" t="n">
        <f aca="false">COUNTIFS('Control Library'!$A$5:$A$50,"AI-CTRL-005",'Control Library'!$R$5:$R$50,"Implemented")+COUNTIFS('Control Library'!$A$5:$A$50,"AI-CTRL-021",'Control Library'!$R$5:$R$50,"Implemented")</f>
        <v>0</v>
      </c>
      <c r="K258" s="43" t="str">
        <f aca="false">IF(I258=0,"No wiki control",IF(J258=I258,"Fully covered",IF(J258=0,"Not covered","Partly covered")))</f>
        <v>Not covered</v>
      </c>
      <c r="L258" s="9" t="s">
        <v>1295</v>
      </c>
    </row>
    <row r="259" customFormat="false" ht="23.85" hidden="false" customHeight="false" outlineLevel="0" collapsed="false">
      <c r="A259" s="49" t="s">
        <v>580</v>
      </c>
      <c r="B259" s="49" t="s">
        <v>577</v>
      </c>
      <c r="C259" s="5" t="s">
        <v>1330</v>
      </c>
      <c r="D259" s="6" t="s">
        <v>1331</v>
      </c>
      <c r="E259" s="6" t="s">
        <v>1332</v>
      </c>
      <c r="F259" s="6" t="s">
        <v>730</v>
      </c>
      <c r="G259" s="6" t="s">
        <v>1333</v>
      </c>
      <c r="H259" s="6"/>
      <c r="I259" s="26" t="n">
        <v>3</v>
      </c>
      <c r="J259" s="26" t="n">
        <f aca="false">COUNTIFS('Control Library'!$A$5:$A$50,"AI-CTRL-022",'Control Library'!$R$5:$R$50,"Implemented")+COUNTIFS('Control Library'!$A$5:$A$50,"AI-CTRL-023",'Control Library'!$R$5:$R$50,"Implemented")+COUNTIFS('Control Library'!$A$5:$A$50,"AI-CTRL-025",'Control Library'!$R$5:$R$50,"Implemented")</f>
        <v>0</v>
      </c>
      <c r="K259" s="43" t="str">
        <f aca="false">IF(I259=0,"No wiki control",IF(J259=I259,"Fully covered",IF(J259=0,"Not covered","Partly covered")))</f>
        <v>Not covered</v>
      </c>
      <c r="L259" s="9" t="s">
        <v>1295</v>
      </c>
    </row>
    <row r="260" customFormat="false" ht="23.85" hidden="false" customHeight="false" outlineLevel="0" collapsed="false">
      <c r="A260" s="49" t="s">
        <v>580</v>
      </c>
      <c r="B260" s="49" t="s">
        <v>577</v>
      </c>
      <c r="C260" s="5" t="s">
        <v>1334</v>
      </c>
      <c r="D260" s="6" t="s">
        <v>1335</v>
      </c>
      <c r="E260" s="6" t="s">
        <v>199</v>
      </c>
      <c r="F260" s="6" t="s">
        <v>730</v>
      </c>
      <c r="G260" s="6" t="s">
        <v>203</v>
      </c>
      <c r="H260" s="6"/>
      <c r="I260" s="26" t="n">
        <v>1</v>
      </c>
      <c r="J260" s="26" t="n">
        <f aca="false">COUNTIFS('Control Library'!$A$5:$A$50,"AI-CTRL-005",'Control Library'!$R$5:$R$50,"Implemented")</f>
        <v>0</v>
      </c>
      <c r="K260" s="43" t="str">
        <f aca="false">IF(I260=0,"No wiki control",IF(J260=I260,"Fully covered",IF(J260=0,"Not covered","Partly covered")))</f>
        <v>Not covered</v>
      </c>
      <c r="L260" s="9" t="s">
        <v>1295</v>
      </c>
    </row>
    <row r="261" customFormat="false" ht="23.85" hidden="false" customHeight="false" outlineLevel="0" collapsed="false">
      <c r="A261" s="49" t="s">
        <v>580</v>
      </c>
      <c r="B261" s="49" t="s">
        <v>577</v>
      </c>
      <c r="C261" s="5" t="s">
        <v>1336</v>
      </c>
      <c r="D261" s="6" t="s">
        <v>1337</v>
      </c>
      <c r="E261" s="6" t="s">
        <v>1338</v>
      </c>
      <c r="F261" s="6" t="s">
        <v>730</v>
      </c>
      <c r="G261" s="6" t="s">
        <v>1339</v>
      </c>
      <c r="H261" s="6"/>
      <c r="I261" s="26" t="n">
        <v>3</v>
      </c>
      <c r="J261" s="26" t="n">
        <f aca="false">COUNTIFS('Control Library'!$A$5:$A$50,"AI-CTRL-004",'Control Library'!$R$5:$R$50,"Implemented")+COUNTIFS('Control Library'!$A$5:$A$50,"AI-CTRL-016",'Control Library'!$R$5:$R$50,"Implemented")+COUNTIFS('Control Library'!$A$5:$A$50,"AI-CTRL-032",'Control Library'!$R$5:$R$50,"Implemented")</f>
        <v>0</v>
      </c>
      <c r="K261" s="43" t="str">
        <f aca="false">IF(I261=0,"No wiki control",IF(J261=I261,"Fully covered",IF(J261=0,"Not covered","Partly covered")))</f>
        <v>Not covered</v>
      </c>
      <c r="L261" s="9" t="s">
        <v>1295</v>
      </c>
    </row>
    <row r="262" customFormat="false" ht="23.85" hidden="false" customHeight="false" outlineLevel="0" collapsed="false">
      <c r="A262" s="49" t="s">
        <v>580</v>
      </c>
      <c r="B262" s="49" t="s">
        <v>577</v>
      </c>
      <c r="C262" s="5" t="s">
        <v>1340</v>
      </c>
      <c r="D262" s="6" t="s">
        <v>1341</v>
      </c>
      <c r="E262" s="6" t="s">
        <v>199</v>
      </c>
      <c r="F262" s="6" t="s">
        <v>730</v>
      </c>
      <c r="G262" s="6" t="s">
        <v>203</v>
      </c>
      <c r="H262" s="6"/>
      <c r="I262" s="26" t="n">
        <v>1</v>
      </c>
      <c r="J262" s="26" t="n">
        <f aca="false">COUNTIFS('Control Library'!$A$5:$A$50,"AI-CTRL-005",'Control Library'!$R$5:$R$50,"Implemented")</f>
        <v>0</v>
      </c>
      <c r="K262" s="43" t="str">
        <f aca="false">IF(I262=0,"No wiki control",IF(J262=I262,"Fully covered",IF(J262=0,"Not covered","Partly covered")))</f>
        <v>Not covered</v>
      </c>
      <c r="L262" s="9" t="s">
        <v>1295</v>
      </c>
    </row>
    <row r="263" customFormat="false" ht="46.25" hidden="false" customHeight="false" outlineLevel="0" collapsed="false">
      <c r="A263" s="49" t="s">
        <v>580</v>
      </c>
      <c r="B263" s="49" t="s">
        <v>577</v>
      </c>
      <c r="C263" s="5" t="s">
        <v>1342</v>
      </c>
      <c r="D263" s="6" t="s">
        <v>1343</v>
      </c>
      <c r="E263" s="6" t="s">
        <v>1344</v>
      </c>
      <c r="F263" s="6" t="s">
        <v>730</v>
      </c>
      <c r="G263" s="6" t="s">
        <v>1345</v>
      </c>
      <c r="H263" s="6"/>
      <c r="I263" s="26" t="n">
        <v>8</v>
      </c>
      <c r="J263" s="26" t="n">
        <f aca="false">COUNTIFS('Control Library'!$A$5:$A$50,"AI-CTRL-002",'Control Library'!$R$5:$R$50,"Implemented")+COUNTIFS('Control Library'!$A$5:$A$50,"AI-CTRL-003",'Control Library'!$R$5:$R$50,"Implemented")+COUNTIFS('Control Library'!$A$5:$A$50,"AI-CTRL-004",'Control Library'!$R$5:$R$50,"Implemented")+COUNTIFS('Control Library'!$A$5:$A$50,"AI-CTRL-010",'Control Library'!$R$5:$R$50,"Implemented")+COUNTIFS('Control Library'!$A$5:$A$50,"AI-CTRL-013",'Control Library'!$R$5:$R$50,"Implemented")+COUNTIFS('Control Library'!$A$5:$A$50,"AI-CTRL-017",'Control Library'!$R$5:$R$50,"Implemented")+COUNTIFS('Control Library'!$A$5:$A$50,"AI-CTRL-018",'Control Library'!$R$5:$R$50,"Implemented")+COUNTIFS('Control Library'!$A$5:$A$50,"AI-CTRL-020",'Control Library'!$R$5:$R$50,"Implemented")</f>
        <v>0</v>
      </c>
      <c r="K263" s="43" t="str">
        <f aca="false">IF(I263=0,"No wiki control",IF(J263=I263,"Fully covered",IF(J263=0,"Not covered","Partly covered")))</f>
        <v>Not covered</v>
      </c>
      <c r="L263" s="9" t="s">
        <v>1295</v>
      </c>
    </row>
    <row r="264" customFormat="false" ht="23.85" hidden="false" customHeight="false" outlineLevel="0" collapsed="false">
      <c r="A264" s="49" t="s">
        <v>580</v>
      </c>
      <c r="B264" s="49" t="s">
        <v>577</v>
      </c>
      <c r="C264" s="5" t="s">
        <v>1346</v>
      </c>
      <c r="D264" s="6" t="s">
        <v>1347</v>
      </c>
      <c r="E264" s="6" t="s">
        <v>404</v>
      </c>
      <c r="F264" s="6" t="s">
        <v>730</v>
      </c>
      <c r="G264" s="6" t="s">
        <v>399</v>
      </c>
      <c r="H264" s="6"/>
      <c r="I264" s="26" t="n">
        <v>1</v>
      </c>
      <c r="J264" s="26" t="n">
        <f aca="false">COUNTIFS('Control Library'!$A$5:$A$50,"AI-CTRL-029",'Control Library'!$R$5:$R$50,"Implemented")</f>
        <v>0</v>
      </c>
      <c r="K264" s="43" t="str">
        <f aca="false">IF(I264=0,"No wiki control",IF(J264=I264,"Fully covered",IF(J264=0,"Not covered","Partly covered")))</f>
        <v>Not covered</v>
      </c>
      <c r="L264" s="9" t="s">
        <v>1295</v>
      </c>
    </row>
    <row r="265" customFormat="false" ht="23.85" hidden="false" customHeight="false" outlineLevel="0" collapsed="false">
      <c r="A265" s="49" t="s">
        <v>580</v>
      </c>
      <c r="B265" s="49" t="s">
        <v>577</v>
      </c>
      <c r="C265" s="5" t="s">
        <v>1348</v>
      </c>
      <c r="D265" s="6" t="s">
        <v>1349</v>
      </c>
      <c r="E265" s="6" t="s">
        <v>486</v>
      </c>
      <c r="F265" s="6" t="s">
        <v>730</v>
      </c>
      <c r="G265" s="6" t="s">
        <v>490</v>
      </c>
      <c r="H265" s="6"/>
      <c r="I265" s="26" t="n">
        <v>1</v>
      </c>
      <c r="J265" s="26" t="n">
        <f aca="false">COUNTIFS('Control Library'!$A$5:$A$50,"AI-CTRL-039",'Control Library'!$R$5:$R$50,"Implemented")</f>
        <v>0</v>
      </c>
      <c r="K265" s="43" t="str">
        <f aca="false">IF(I265=0,"No wiki control",IF(J265=I265,"Fully covered",IF(J265=0,"Not covered","Partly covered")))</f>
        <v>Not covered</v>
      </c>
      <c r="L265" s="9" t="s">
        <v>1295</v>
      </c>
    </row>
    <row r="266" customFormat="false" ht="23.85" hidden="false" customHeight="false" outlineLevel="0" collapsed="false">
      <c r="A266" s="49" t="s">
        <v>580</v>
      </c>
      <c r="B266" s="49" t="s">
        <v>577</v>
      </c>
      <c r="C266" s="5" t="s">
        <v>1350</v>
      </c>
      <c r="D266" s="6" t="s">
        <v>1351</v>
      </c>
      <c r="E266" s="6" t="s">
        <v>486</v>
      </c>
      <c r="F266" s="6" t="s">
        <v>730</v>
      </c>
      <c r="G266" s="6" t="s">
        <v>490</v>
      </c>
      <c r="H266" s="6"/>
      <c r="I266" s="26" t="n">
        <v>1</v>
      </c>
      <c r="J266" s="26" t="n">
        <f aca="false">COUNTIFS('Control Library'!$A$5:$A$50,"AI-CTRL-039",'Control Library'!$R$5:$R$50,"Implemented")</f>
        <v>0</v>
      </c>
      <c r="K266" s="43" t="str">
        <f aca="false">IF(I266=0,"No wiki control",IF(J266=I266,"Fully covered",IF(J266=0,"Not covered","Partly covered")))</f>
        <v>Not covered</v>
      </c>
      <c r="L266" s="9" t="s">
        <v>1295</v>
      </c>
    </row>
    <row r="267" customFormat="false" ht="23.85" hidden="false" customHeight="false" outlineLevel="0" collapsed="false">
      <c r="A267" s="49" t="s">
        <v>580</v>
      </c>
      <c r="B267" s="49" t="s">
        <v>577</v>
      </c>
      <c r="C267" s="5" t="s">
        <v>1352</v>
      </c>
      <c r="D267" s="6" t="s">
        <v>1353</v>
      </c>
      <c r="E267" s="6" t="s">
        <v>315</v>
      </c>
      <c r="F267" s="6" t="s">
        <v>730</v>
      </c>
      <c r="G267" s="6" t="s">
        <v>319</v>
      </c>
      <c r="H267" s="6"/>
      <c r="I267" s="26" t="n">
        <v>1</v>
      </c>
      <c r="J267" s="26" t="n">
        <f aca="false">COUNTIFS('Control Library'!$A$5:$A$50,"AI-CTRL-018",'Control Library'!$R$5:$R$50,"Implemented")</f>
        <v>0</v>
      </c>
      <c r="K267" s="43" t="str">
        <f aca="false">IF(I267=0,"No wiki control",IF(J267=I267,"Fully covered",IF(J267=0,"Not covered","Partly covered")))</f>
        <v>Not covered</v>
      </c>
      <c r="L267" s="9" t="s">
        <v>1295</v>
      </c>
    </row>
    <row r="268" customFormat="false" ht="23.85" hidden="false" customHeight="false" outlineLevel="0" collapsed="false">
      <c r="A268" s="49" t="s">
        <v>580</v>
      </c>
      <c r="B268" s="49" t="s">
        <v>577</v>
      </c>
      <c r="C268" s="5" t="s">
        <v>1354</v>
      </c>
      <c r="D268" s="6" t="s">
        <v>1355</v>
      </c>
      <c r="E268" s="6" t="s">
        <v>324</v>
      </c>
      <c r="F268" s="6" t="s">
        <v>730</v>
      </c>
      <c r="G268" s="6" t="s">
        <v>327</v>
      </c>
      <c r="H268" s="6"/>
      <c r="I268" s="26" t="n">
        <v>1</v>
      </c>
      <c r="J268" s="26" t="n">
        <f aca="false">COUNTIFS('Control Library'!$A$5:$A$50,"AI-CTRL-019",'Control Library'!$R$5:$R$50,"Implemented")</f>
        <v>0</v>
      </c>
      <c r="K268" s="43" t="str">
        <f aca="false">IF(I268=0,"No wiki control",IF(J268=I268,"Fully covered",IF(J268=0,"Not covered","Partly covered")))</f>
        <v>Not covered</v>
      </c>
      <c r="L268" s="9" t="s">
        <v>1295</v>
      </c>
    </row>
    <row r="269" customFormat="false" ht="23.85" hidden="false" customHeight="false" outlineLevel="0" collapsed="false">
      <c r="A269" s="49" t="s">
        <v>580</v>
      </c>
      <c r="B269" s="49" t="s">
        <v>577</v>
      </c>
      <c r="C269" s="5" t="s">
        <v>1356</v>
      </c>
      <c r="D269" s="6" t="s">
        <v>1357</v>
      </c>
      <c r="E269" s="6" t="s">
        <v>331</v>
      </c>
      <c r="F269" s="6" t="s">
        <v>730</v>
      </c>
      <c r="G269" s="6" t="s">
        <v>335</v>
      </c>
      <c r="H269" s="6"/>
      <c r="I269" s="26" t="n">
        <v>1</v>
      </c>
      <c r="J269" s="26" t="n">
        <f aca="false">COUNTIFS('Control Library'!$A$5:$A$50,"AI-CTRL-020",'Control Library'!$R$5:$R$50,"Implemented")</f>
        <v>0</v>
      </c>
      <c r="K269" s="43" t="str">
        <f aca="false">IF(I269=0,"No wiki control",IF(J269=I269,"Fully covered",IF(J269=0,"Not covered","Partly covered")))</f>
        <v>Not covered</v>
      </c>
      <c r="L269" s="9" t="s">
        <v>1295</v>
      </c>
    </row>
    <row r="270" customFormat="false" ht="23.85" hidden="false" customHeight="false" outlineLevel="0" collapsed="false">
      <c r="A270" s="49" t="s">
        <v>580</v>
      </c>
      <c r="B270" s="49" t="s">
        <v>577</v>
      </c>
      <c r="C270" s="5" t="s">
        <v>1358</v>
      </c>
      <c r="D270" s="6" t="s">
        <v>1359</v>
      </c>
      <c r="E270" s="6" t="s">
        <v>199</v>
      </c>
      <c r="F270" s="6" t="s">
        <v>730</v>
      </c>
      <c r="G270" s="6" t="s">
        <v>203</v>
      </c>
      <c r="H270" s="6"/>
      <c r="I270" s="26" t="n">
        <v>1</v>
      </c>
      <c r="J270" s="26" t="n">
        <f aca="false">COUNTIFS('Control Library'!$A$5:$A$50,"AI-CTRL-005",'Control Library'!$R$5:$R$50,"Implemented")</f>
        <v>0</v>
      </c>
      <c r="K270" s="43" t="str">
        <f aca="false">IF(I270=0,"No wiki control",IF(J270=I270,"Fully covered",IF(J270=0,"Not covered","Partly covered")))</f>
        <v>Not covered</v>
      </c>
      <c r="L270" s="9" t="s">
        <v>1295</v>
      </c>
    </row>
    <row r="271" customFormat="false" ht="23.85" hidden="false" customHeight="false" outlineLevel="0" collapsed="false">
      <c r="A271" s="49" t="s">
        <v>580</v>
      </c>
      <c r="B271" s="49" t="s">
        <v>577</v>
      </c>
      <c r="C271" s="5" t="s">
        <v>1360</v>
      </c>
      <c r="D271" s="6" t="s">
        <v>1361</v>
      </c>
      <c r="E271" s="6" t="s">
        <v>324</v>
      </c>
      <c r="F271" s="6" t="s">
        <v>730</v>
      </c>
      <c r="G271" s="6" t="s">
        <v>327</v>
      </c>
      <c r="H271" s="6"/>
      <c r="I271" s="26" t="n">
        <v>1</v>
      </c>
      <c r="J271" s="26" t="n">
        <f aca="false">COUNTIFS('Control Library'!$A$5:$A$50,"AI-CTRL-019",'Control Library'!$R$5:$R$50,"Implemented")</f>
        <v>0</v>
      </c>
      <c r="K271" s="43" t="str">
        <f aca="false">IF(I271=0,"No wiki control",IF(J271=I271,"Fully covered",IF(J271=0,"Not covered","Partly covered")))</f>
        <v>Not covered</v>
      </c>
      <c r="L271" s="9" t="s">
        <v>1295</v>
      </c>
    </row>
    <row r="272" customFormat="false" ht="23.85" hidden="false" customHeight="false" outlineLevel="0" collapsed="false">
      <c r="A272" s="49" t="s">
        <v>580</v>
      </c>
      <c r="B272" s="49" t="s">
        <v>577</v>
      </c>
      <c r="C272" s="5" t="s">
        <v>1362</v>
      </c>
      <c r="D272" s="6" t="s">
        <v>1363</v>
      </c>
      <c r="E272" s="6" t="s">
        <v>324</v>
      </c>
      <c r="F272" s="6" t="s">
        <v>730</v>
      </c>
      <c r="G272" s="6" t="s">
        <v>327</v>
      </c>
      <c r="H272" s="6"/>
      <c r="I272" s="26" t="n">
        <v>1</v>
      </c>
      <c r="J272" s="26" t="n">
        <f aca="false">COUNTIFS('Control Library'!$A$5:$A$50,"AI-CTRL-019",'Control Library'!$R$5:$R$50,"Implemented")</f>
        <v>0</v>
      </c>
      <c r="K272" s="43" t="str">
        <f aca="false">IF(I272=0,"No wiki control",IF(J272=I272,"Fully covered",IF(J272=0,"Not covered","Partly covered")))</f>
        <v>Not covered</v>
      </c>
      <c r="L272" s="9" t="s">
        <v>1295</v>
      </c>
    </row>
    <row r="273" customFormat="false" ht="23.85" hidden="false" customHeight="false" outlineLevel="0" collapsed="false">
      <c r="A273" s="49" t="s">
        <v>580</v>
      </c>
      <c r="B273" s="49" t="s">
        <v>577</v>
      </c>
      <c r="C273" s="5" t="s">
        <v>1364</v>
      </c>
      <c r="D273" s="6" t="s">
        <v>1365</v>
      </c>
      <c r="E273" s="6" t="s">
        <v>291</v>
      </c>
      <c r="F273" s="6" t="s">
        <v>730</v>
      </c>
      <c r="G273" s="6" t="s">
        <v>295</v>
      </c>
      <c r="H273" s="6"/>
      <c r="I273" s="26" t="n">
        <v>1</v>
      </c>
      <c r="J273" s="26" t="n">
        <f aca="false">COUNTIFS('Control Library'!$A$5:$A$50,"AI-CTRL-015",'Control Library'!$R$5:$R$50,"Implemented")</f>
        <v>0</v>
      </c>
      <c r="K273" s="43" t="str">
        <f aca="false">IF(I273=0,"No wiki control",IF(J273=I273,"Fully covered",IF(J273=0,"Not covered","Partly covered")))</f>
        <v>Not covered</v>
      </c>
      <c r="L273" s="9" t="s">
        <v>1295</v>
      </c>
    </row>
    <row r="274" customFormat="false" ht="23.85" hidden="false" customHeight="false" outlineLevel="0" collapsed="false">
      <c r="A274" s="49" t="s">
        <v>580</v>
      </c>
      <c r="B274" s="49" t="s">
        <v>577</v>
      </c>
      <c r="C274" s="5" t="s">
        <v>1366</v>
      </c>
      <c r="D274" s="6" t="s">
        <v>1367</v>
      </c>
      <c r="E274" s="6" t="s">
        <v>331</v>
      </c>
      <c r="F274" s="6" t="s">
        <v>730</v>
      </c>
      <c r="G274" s="6" t="s">
        <v>335</v>
      </c>
      <c r="H274" s="6"/>
      <c r="I274" s="26" t="n">
        <v>1</v>
      </c>
      <c r="J274" s="26" t="n">
        <f aca="false">COUNTIFS('Control Library'!$A$5:$A$50,"AI-CTRL-020",'Control Library'!$R$5:$R$50,"Implemented")</f>
        <v>0</v>
      </c>
      <c r="K274" s="43" t="str">
        <f aca="false">IF(I274=0,"No wiki control",IF(J274=I274,"Fully covered",IF(J274=0,"Not covered","Partly covered")))</f>
        <v>Not covered</v>
      </c>
      <c r="L274" s="9" t="s">
        <v>1295</v>
      </c>
    </row>
    <row r="275" customFormat="false" ht="23.85" hidden="false" customHeight="false" outlineLevel="0" collapsed="false">
      <c r="A275" s="49" t="s">
        <v>580</v>
      </c>
      <c r="B275" s="49" t="s">
        <v>577</v>
      </c>
      <c r="C275" s="5" t="s">
        <v>1368</v>
      </c>
      <c r="D275" s="6" t="s">
        <v>1369</v>
      </c>
      <c r="E275" s="6" t="s">
        <v>380</v>
      </c>
      <c r="F275" s="6" t="s">
        <v>730</v>
      </c>
      <c r="G275" s="6" t="s">
        <v>383</v>
      </c>
      <c r="H275" s="6"/>
      <c r="I275" s="26" t="n">
        <v>1</v>
      </c>
      <c r="J275" s="26" t="n">
        <f aca="false">COUNTIFS('Control Library'!$A$5:$A$50,"AI-CTRL-026",'Control Library'!$R$5:$R$50,"Implemented")</f>
        <v>0</v>
      </c>
      <c r="K275" s="43" t="str">
        <f aca="false">IF(I275=0,"No wiki control",IF(J275=I275,"Fully covered",IF(J275=0,"Not covered","Partly covered")))</f>
        <v>Not covered</v>
      </c>
      <c r="L275" s="9" t="s">
        <v>1295</v>
      </c>
    </row>
    <row r="276" customFormat="false" ht="23.85" hidden="false" customHeight="false" outlineLevel="0" collapsed="false">
      <c r="A276" s="49" t="s">
        <v>580</v>
      </c>
      <c r="B276" s="49" t="s">
        <v>577</v>
      </c>
      <c r="C276" s="5" t="s">
        <v>1370</v>
      </c>
      <c r="D276" s="6" t="s">
        <v>1371</v>
      </c>
      <c r="E276" s="6" t="s">
        <v>209</v>
      </c>
      <c r="F276" s="6" t="s">
        <v>730</v>
      </c>
      <c r="G276" s="6" t="s">
        <v>214</v>
      </c>
      <c r="H276" s="6"/>
      <c r="I276" s="26" t="n">
        <v>1</v>
      </c>
      <c r="J276" s="26" t="n">
        <f aca="false">COUNTIFS('Control Library'!$A$5:$A$50,"AI-CTRL-006",'Control Library'!$R$5:$R$50,"Implemented")</f>
        <v>0</v>
      </c>
      <c r="K276" s="43" t="str">
        <f aca="false">IF(I276=0,"No wiki control",IF(J276=I276,"Fully covered",IF(J276=0,"Not covered","Partly covered")))</f>
        <v>Not covered</v>
      </c>
      <c r="L276" s="9" t="s">
        <v>1295</v>
      </c>
    </row>
    <row r="277" customFormat="false" ht="23.85" hidden="false" customHeight="false" outlineLevel="0" collapsed="false">
      <c r="A277" s="49" t="s">
        <v>580</v>
      </c>
      <c r="B277" s="49" t="s">
        <v>577</v>
      </c>
      <c r="C277" s="5" t="s">
        <v>1372</v>
      </c>
      <c r="D277" s="6" t="s">
        <v>1373</v>
      </c>
      <c r="E277" s="6" t="s">
        <v>315</v>
      </c>
      <c r="F277" s="6" t="s">
        <v>730</v>
      </c>
      <c r="G277" s="6" t="s">
        <v>319</v>
      </c>
      <c r="H277" s="6"/>
      <c r="I277" s="26" t="n">
        <v>1</v>
      </c>
      <c r="J277" s="26" t="n">
        <f aca="false">COUNTIFS('Control Library'!$A$5:$A$50,"AI-CTRL-018",'Control Library'!$R$5:$R$50,"Implemented")</f>
        <v>0</v>
      </c>
      <c r="K277" s="43" t="str">
        <f aca="false">IF(I277=0,"No wiki control",IF(J277=I277,"Fully covered",IF(J277=0,"Not covered","Partly covered")))</f>
        <v>Not covered</v>
      </c>
      <c r="L277" s="9" t="s">
        <v>1295</v>
      </c>
    </row>
    <row r="278" customFormat="false" ht="23.85" hidden="false" customHeight="false" outlineLevel="0" collapsed="false">
      <c r="A278" s="49" t="s">
        <v>580</v>
      </c>
      <c r="B278" s="49" t="s">
        <v>577</v>
      </c>
      <c r="C278" s="5" t="s">
        <v>1374</v>
      </c>
      <c r="D278" s="6" t="s">
        <v>1375</v>
      </c>
      <c r="E278" s="6" t="s">
        <v>300</v>
      </c>
      <c r="F278" s="6" t="s">
        <v>730</v>
      </c>
      <c r="G278" s="6" t="s">
        <v>303</v>
      </c>
      <c r="H278" s="6"/>
      <c r="I278" s="26" t="n">
        <v>1</v>
      </c>
      <c r="J278" s="26" t="n">
        <f aca="false">COUNTIFS('Control Library'!$A$5:$A$50,"AI-CTRL-016",'Control Library'!$R$5:$R$50,"Implemented")</f>
        <v>0</v>
      </c>
      <c r="K278" s="43" t="str">
        <f aca="false">IF(I278=0,"No wiki control",IF(J278=I278,"Fully covered",IF(J278=0,"Not covered","Partly covered")))</f>
        <v>Not covered</v>
      </c>
      <c r="L278" s="9" t="s">
        <v>1295</v>
      </c>
    </row>
    <row r="279" customFormat="false" ht="23.85" hidden="false" customHeight="false" outlineLevel="0" collapsed="false">
      <c r="A279" s="49" t="s">
        <v>580</v>
      </c>
      <c r="B279" s="49" t="s">
        <v>577</v>
      </c>
      <c r="C279" s="5" t="s">
        <v>1376</v>
      </c>
      <c r="D279" s="6" t="s">
        <v>1377</v>
      </c>
      <c r="E279" s="6" t="s">
        <v>1378</v>
      </c>
      <c r="F279" s="6" t="s">
        <v>730</v>
      </c>
      <c r="G279" s="6" t="s">
        <v>310</v>
      </c>
      <c r="H279" s="6"/>
      <c r="I279" s="26" t="n">
        <v>2</v>
      </c>
      <c r="J279" s="26" t="n">
        <f aca="false">COUNTIFS('Control Library'!$A$5:$A$50,"AI-CTRL-017",'Control Library'!$R$5:$R$50,"Implemented")+COUNTIFS('Control Library'!$A$5:$A$50,"AI-CTRL-018",'Control Library'!$R$5:$R$50,"Implemented")</f>
        <v>0</v>
      </c>
      <c r="K279" s="43" t="str">
        <f aca="false">IF(I279=0,"No wiki control",IF(J279=I279,"Fully covered",IF(J279=0,"Not covered","Partly covered")))</f>
        <v>Not covered</v>
      </c>
      <c r="L279" s="9" t="s">
        <v>1295</v>
      </c>
    </row>
    <row r="280" customFormat="false" ht="23.85" hidden="false" customHeight="false" outlineLevel="0" collapsed="false">
      <c r="A280" s="49" t="s">
        <v>580</v>
      </c>
      <c r="B280" s="49" t="s">
        <v>577</v>
      </c>
      <c r="C280" s="5" t="s">
        <v>1379</v>
      </c>
      <c r="D280" s="6" t="s">
        <v>1380</v>
      </c>
      <c r="E280" s="6" t="s">
        <v>347</v>
      </c>
      <c r="F280" s="6" t="s">
        <v>730</v>
      </c>
      <c r="G280" s="6" t="s">
        <v>351</v>
      </c>
      <c r="H280" s="6"/>
      <c r="I280" s="26" t="n">
        <v>1</v>
      </c>
      <c r="J280" s="26" t="n">
        <f aca="false">COUNTIFS('Control Library'!$A$5:$A$50,"AI-CTRL-022",'Control Library'!$R$5:$R$50,"Implemented")</f>
        <v>0</v>
      </c>
      <c r="K280" s="43" t="str">
        <f aca="false">IF(I280=0,"No wiki control",IF(J280=I280,"Fully covered",IF(J280=0,"Not covered","Partly covered")))</f>
        <v>Not covered</v>
      </c>
      <c r="L280" s="9" t="s">
        <v>1295</v>
      </c>
    </row>
    <row r="281" customFormat="false" ht="23.85" hidden="false" customHeight="false" outlineLevel="0" collapsed="false">
      <c r="A281" s="49" t="s">
        <v>580</v>
      </c>
      <c r="B281" s="49" t="s">
        <v>577</v>
      </c>
      <c r="C281" s="5" t="s">
        <v>1381</v>
      </c>
      <c r="D281" s="6" t="s">
        <v>1382</v>
      </c>
      <c r="E281" s="6" t="s">
        <v>339</v>
      </c>
      <c r="F281" s="6" t="s">
        <v>730</v>
      </c>
      <c r="G281" s="6" t="s">
        <v>343</v>
      </c>
      <c r="H281" s="6"/>
      <c r="I281" s="26" t="n">
        <v>1</v>
      </c>
      <c r="J281" s="26" t="n">
        <f aca="false">COUNTIFS('Control Library'!$A$5:$A$50,"AI-CTRL-021",'Control Library'!$R$5:$R$50,"Implemented")</f>
        <v>0</v>
      </c>
      <c r="K281" s="43" t="str">
        <f aca="false">IF(I281=0,"No wiki control",IF(J281=I281,"Fully covered",IF(J281=0,"Not covered","Partly covered")))</f>
        <v>Not covered</v>
      </c>
      <c r="L281" s="9" t="s">
        <v>1295</v>
      </c>
    </row>
    <row r="282" customFormat="false" ht="23.85" hidden="false" customHeight="false" outlineLevel="0" collapsed="false">
      <c r="A282" s="49" t="s">
        <v>580</v>
      </c>
      <c r="B282" s="49" t="s">
        <v>577</v>
      </c>
      <c r="C282" s="5" t="s">
        <v>1383</v>
      </c>
      <c r="D282" s="6" t="s">
        <v>1384</v>
      </c>
      <c r="E282" s="6" t="s">
        <v>291</v>
      </c>
      <c r="F282" s="6" t="s">
        <v>730</v>
      </c>
      <c r="G282" s="6" t="s">
        <v>295</v>
      </c>
      <c r="H282" s="6"/>
      <c r="I282" s="26" t="n">
        <v>1</v>
      </c>
      <c r="J282" s="26" t="n">
        <f aca="false">COUNTIFS('Control Library'!$A$5:$A$50,"AI-CTRL-015",'Control Library'!$R$5:$R$50,"Implemented")</f>
        <v>0</v>
      </c>
      <c r="K282" s="43" t="str">
        <f aca="false">IF(I282=0,"No wiki control",IF(J282=I282,"Fully covered",IF(J282=0,"Not covered","Partly covered")))</f>
        <v>Not covered</v>
      </c>
      <c r="L282" s="9" t="s">
        <v>1295</v>
      </c>
    </row>
    <row r="283" customFormat="false" ht="23.85" hidden="false" customHeight="false" outlineLevel="0" collapsed="false">
      <c r="A283" s="49" t="s">
        <v>580</v>
      </c>
      <c r="B283" s="49" t="s">
        <v>577</v>
      </c>
      <c r="C283" s="5" t="s">
        <v>1385</v>
      </c>
      <c r="D283" s="6" t="s">
        <v>1386</v>
      </c>
      <c r="E283" s="6" t="s">
        <v>380</v>
      </c>
      <c r="F283" s="6" t="s">
        <v>730</v>
      </c>
      <c r="G283" s="6" t="s">
        <v>383</v>
      </c>
      <c r="H283" s="6"/>
      <c r="I283" s="26" t="n">
        <v>1</v>
      </c>
      <c r="J283" s="26" t="n">
        <f aca="false">COUNTIFS('Control Library'!$A$5:$A$50,"AI-CTRL-026",'Control Library'!$R$5:$R$50,"Implemented")</f>
        <v>0</v>
      </c>
      <c r="K283" s="43" t="str">
        <f aca="false">IF(I283=0,"No wiki control",IF(J283=I283,"Fully covered",IF(J283=0,"Not covered","Partly covered")))</f>
        <v>Not covered</v>
      </c>
      <c r="L283" s="9" t="s">
        <v>1295</v>
      </c>
    </row>
    <row r="284" customFormat="false" ht="23.85" hidden="false" customHeight="false" outlineLevel="0" collapsed="false">
      <c r="A284" s="49" t="s">
        <v>580</v>
      </c>
      <c r="B284" s="49" t="s">
        <v>577</v>
      </c>
      <c r="C284" s="5" t="s">
        <v>1387</v>
      </c>
      <c r="D284" s="6" t="s">
        <v>1388</v>
      </c>
      <c r="E284" s="6" t="s">
        <v>199</v>
      </c>
      <c r="F284" s="6" t="s">
        <v>730</v>
      </c>
      <c r="G284" s="6" t="s">
        <v>203</v>
      </c>
      <c r="H284" s="6"/>
      <c r="I284" s="26" t="n">
        <v>1</v>
      </c>
      <c r="J284" s="26" t="n">
        <f aca="false">COUNTIFS('Control Library'!$A$5:$A$50,"AI-CTRL-005",'Control Library'!$R$5:$R$50,"Implemented")</f>
        <v>0</v>
      </c>
      <c r="K284" s="43" t="str">
        <f aca="false">IF(I284=0,"No wiki control",IF(J284=I284,"Fully covered",IF(J284=0,"Not covered","Partly covered")))</f>
        <v>Not covered</v>
      </c>
      <c r="L284" s="9" t="s">
        <v>1295</v>
      </c>
    </row>
    <row r="285" customFormat="false" ht="23.85" hidden="false" customHeight="false" outlineLevel="0" collapsed="false">
      <c r="A285" s="49" t="s">
        <v>580</v>
      </c>
      <c r="B285" s="49" t="s">
        <v>577</v>
      </c>
      <c r="C285" s="5" t="s">
        <v>1389</v>
      </c>
      <c r="D285" s="6" t="s">
        <v>1390</v>
      </c>
      <c r="E285" s="6" t="s">
        <v>380</v>
      </c>
      <c r="F285" s="6" t="s">
        <v>730</v>
      </c>
      <c r="G285" s="6" t="s">
        <v>383</v>
      </c>
      <c r="H285" s="6"/>
      <c r="I285" s="26" t="n">
        <v>1</v>
      </c>
      <c r="J285" s="26" t="n">
        <f aca="false">COUNTIFS('Control Library'!$A$5:$A$50,"AI-CTRL-026",'Control Library'!$R$5:$R$50,"Implemented")</f>
        <v>0</v>
      </c>
      <c r="K285" s="43" t="str">
        <f aca="false">IF(I285=0,"No wiki control",IF(J285=I285,"Fully covered",IF(J285=0,"Not covered","Partly covered")))</f>
        <v>Not covered</v>
      </c>
      <c r="L285" s="9" t="s">
        <v>1295</v>
      </c>
    </row>
    <row r="286" customFormat="false" ht="23.85" hidden="false" customHeight="false" outlineLevel="0" collapsed="false">
      <c r="A286" s="49" t="s">
        <v>580</v>
      </c>
      <c r="B286" s="49" t="s">
        <v>577</v>
      </c>
      <c r="C286" s="5" t="s">
        <v>1391</v>
      </c>
      <c r="D286" s="6" t="s">
        <v>1392</v>
      </c>
      <c r="E286" s="6" t="s">
        <v>300</v>
      </c>
      <c r="F286" s="6" t="s">
        <v>730</v>
      </c>
      <c r="G286" s="6" t="s">
        <v>303</v>
      </c>
      <c r="H286" s="6"/>
      <c r="I286" s="26" t="n">
        <v>1</v>
      </c>
      <c r="J286" s="26" t="n">
        <f aca="false">COUNTIFS('Control Library'!$A$5:$A$50,"AI-CTRL-016",'Control Library'!$R$5:$R$50,"Implemented")</f>
        <v>0</v>
      </c>
      <c r="K286" s="43" t="str">
        <f aca="false">IF(I286=0,"No wiki control",IF(J286=I286,"Fully covered",IF(J286=0,"Not covered","Partly covered")))</f>
        <v>Not covered</v>
      </c>
      <c r="L286" s="9" t="s">
        <v>1295</v>
      </c>
    </row>
    <row r="287" customFormat="false" ht="23.85" hidden="false" customHeight="false" outlineLevel="0" collapsed="false">
      <c r="A287" s="49" t="s">
        <v>580</v>
      </c>
      <c r="B287" s="49" t="s">
        <v>577</v>
      </c>
      <c r="C287" s="5" t="s">
        <v>1393</v>
      </c>
      <c r="D287" s="6" t="s">
        <v>1394</v>
      </c>
      <c r="E287" s="6" t="s">
        <v>363</v>
      </c>
      <c r="F287" s="6" t="s">
        <v>730</v>
      </c>
      <c r="G287" s="6" t="s">
        <v>367</v>
      </c>
      <c r="H287" s="6"/>
      <c r="I287" s="26" t="n">
        <v>1</v>
      </c>
      <c r="J287" s="26" t="n">
        <f aca="false">COUNTIFS('Control Library'!$A$5:$A$50,"AI-CTRL-024",'Control Library'!$R$5:$R$50,"Implemented")</f>
        <v>0</v>
      </c>
      <c r="K287" s="43" t="str">
        <f aca="false">IF(I287=0,"No wiki control",IF(J287=I287,"Fully covered",IF(J287=0,"Not covered","Partly covered")))</f>
        <v>Not covered</v>
      </c>
      <c r="L287" s="9" t="s">
        <v>1295</v>
      </c>
    </row>
    <row r="288" customFormat="false" ht="23.85" hidden="false" customHeight="false" outlineLevel="0" collapsed="false">
      <c r="A288" s="49" t="s">
        <v>580</v>
      </c>
      <c r="B288" s="49" t="s">
        <v>577</v>
      </c>
      <c r="C288" s="5" t="s">
        <v>1395</v>
      </c>
      <c r="D288" s="6" t="s">
        <v>1396</v>
      </c>
      <c r="E288" s="6" t="s">
        <v>1397</v>
      </c>
      <c r="F288" s="6" t="s">
        <v>730</v>
      </c>
      <c r="G288" s="6" t="s">
        <v>1398</v>
      </c>
      <c r="H288" s="6"/>
      <c r="I288" s="26" t="n">
        <v>2</v>
      </c>
      <c r="J288" s="26" t="n">
        <f aca="false">COUNTIFS('Control Library'!$A$5:$A$50,"AI-CTRL-022",'Control Library'!$R$5:$R$50,"Implemented")+COUNTIFS('Control Library'!$A$5:$A$50,"AI-CTRL-023",'Control Library'!$R$5:$R$50,"Implemented")</f>
        <v>0</v>
      </c>
      <c r="K288" s="43" t="str">
        <f aca="false">IF(I288=0,"No wiki control",IF(J288=I288,"Fully covered",IF(J288=0,"Not covered","Partly covered")))</f>
        <v>Not covered</v>
      </c>
      <c r="L288" s="9" t="s">
        <v>1295</v>
      </c>
    </row>
    <row r="289" customFormat="false" ht="23.85" hidden="false" customHeight="false" outlineLevel="0" collapsed="false">
      <c r="A289" s="49" t="s">
        <v>580</v>
      </c>
      <c r="B289" s="49" t="s">
        <v>577</v>
      </c>
      <c r="C289" s="5" t="s">
        <v>1399</v>
      </c>
      <c r="D289" s="6" t="s">
        <v>1400</v>
      </c>
      <c r="E289" s="6" t="s">
        <v>387</v>
      </c>
      <c r="F289" s="6" t="s">
        <v>730</v>
      </c>
      <c r="G289" s="6" t="s">
        <v>390</v>
      </c>
      <c r="H289" s="6"/>
      <c r="I289" s="26" t="n">
        <v>1</v>
      </c>
      <c r="J289" s="26" t="n">
        <f aca="false">COUNTIFS('Control Library'!$A$5:$A$50,"AI-CTRL-027",'Control Library'!$R$5:$R$50,"Implemented")</f>
        <v>0</v>
      </c>
      <c r="K289" s="43" t="str">
        <f aca="false">IF(I289=0,"No wiki control",IF(J289=I289,"Fully covered",IF(J289=0,"Not covered","Partly covered")))</f>
        <v>Not covered</v>
      </c>
      <c r="L289" s="9" t="s">
        <v>1295</v>
      </c>
    </row>
    <row r="290" customFormat="false" ht="23.85" hidden="false" customHeight="false" outlineLevel="0" collapsed="false">
      <c r="A290" s="49" t="s">
        <v>580</v>
      </c>
      <c r="B290" s="49" t="s">
        <v>577</v>
      </c>
      <c r="C290" s="5" t="s">
        <v>1401</v>
      </c>
      <c r="D290" s="6" t="s">
        <v>1402</v>
      </c>
      <c r="E290" s="6" t="s">
        <v>387</v>
      </c>
      <c r="F290" s="6" t="s">
        <v>730</v>
      </c>
      <c r="G290" s="6" t="s">
        <v>390</v>
      </c>
      <c r="H290" s="6"/>
      <c r="I290" s="26" t="n">
        <v>1</v>
      </c>
      <c r="J290" s="26" t="n">
        <f aca="false">COUNTIFS('Control Library'!$A$5:$A$50,"AI-CTRL-027",'Control Library'!$R$5:$R$50,"Implemented")</f>
        <v>0</v>
      </c>
      <c r="K290" s="43" t="str">
        <f aca="false">IF(I290=0,"No wiki control",IF(J290=I290,"Fully covered",IF(J290=0,"Not covered","Partly covered")))</f>
        <v>Not covered</v>
      </c>
      <c r="L290" s="9" t="s">
        <v>1295</v>
      </c>
    </row>
    <row r="291" customFormat="false" ht="23.85" hidden="false" customHeight="false" outlineLevel="0" collapsed="false">
      <c r="A291" s="49" t="s">
        <v>580</v>
      </c>
      <c r="B291" s="49" t="s">
        <v>577</v>
      </c>
      <c r="C291" s="5" t="s">
        <v>1403</v>
      </c>
      <c r="D291" s="6" t="s">
        <v>1404</v>
      </c>
      <c r="E291" s="6" t="s">
        <v>1059</v>
      </c>
      <c r="F291" s="6" t="s">
        <v>730</v>
      </c>
      <c r="G291" s="6" t="s">
        <v>1060</v>
      </c>
      <c r="H291" s="6"/>
      <c r="I291" s="26" t="n">
        <v>3</v>
      </c>
      <c r="J291" s="26" t="n">
        <f aca="false">COUNTIFS('Control Library'!$A$5:$A$50,"AI-CTRL-014",'Control Library'!$R$5:$R$50,"Implemented")+COUNTIFS('Control Library'!$A$5:$A$50,"AI-CTRL-024",'Control Library'!$R$5:$R$50,"Implemented")+COUNTIFS('Control Library'!$A$5:$A$50,"AI-CTRL-031",'Control Library'!$R$5:$R$50,"Implemented")</f>
        <v>0</v>
      </c>
      <c r="K291" s="43" t="str">
        <f aca="false">IF(I291=0,"No wiki control",IF(J291=I291,"Fully covered",IF(J291=0,"Not covered","Partly covered")))</f>
        <v>Not covered</v>
      </c>
      <c r="L291" s="9" t="s">
        <v>1295</v>
      </c>
    </row>
    <row r="292" customFormat="false" ht="23.85" hidden="false" customHeight="false" outlineLevel="0" collapsed="false">
      <c r="A292" s="49" t="s">
        <v>580</v>
      </c>
      <c r="B292" s="49" t="s">
        <v>577</v>
      </c>
      <c r="C292" s="5" t="s">
        <v>1405</v>
      </c>
      <c r="D292" s="6" t="s">
        <v>1406</v>
      </c>
      <c r="E292" s="6" t="s">
        <v>363</v>
      </c>
      <c r="F292" s="6" t="s">
        <v>730</v>
      </c>
      <c r="G292" s="6" t="s">
        <v>367</v>
      </c>
      <c r="H292" s="6"/>
      <c r="I292" s="26" t="n">
        <v>1</v>
      </c>
      <c r="J292" s="26" t="n">
        <f aca="false">COUNTIFS('Control Library'!$A$5:$A$50,"AI-CTRL-024",'Control Library'!$R$5:$R$50,"Implemented")</f>
        <v>0</v>
      </c>
      <c r="K292" s="43" t="str">
        <f aca="false">IF(I292=0,"No wiki control",IF(J292=I292,"Fully covered",IF(J292=0,"Not covered","Partly covered")))</f>
        <v>Not covered</v>
      </c>
      <c r="L292" s="9" t="s">
        <v>1295</v>
      </c>
    </row>
    <row r="293" customFormat="false" ht="23.85" hidden="false" customHeight="false" outlineLevel="0" collapsed="false">
      <c r="A293" s="49" t="s">
        <v>580</v>
      </c>
      <c r="B293" s="49" t="s">
        <v>577</v>
      </c>
      <c r="C293" s="5" t="s">
        <v>1407</v>
      </c>
      <c r="D293" s="6" t="s">
        <v>1408</v>
      </c>
      <c r="E293" s="6" t="s">
        <v>420</v>
      </c>
      <c r="F293" s="6" t="s">
        <v>730</v>
      </c>
      <c r="G293" s="6" t="s">
        <v>424</v>
      </c>
      <c r="H293" s="6"/>
      <c r="I293" s="26" t="n">
        <v>1</v>
      </c>
      <c r="J293" s="26" t="n">
        <f aca="false">COUNTIFS('Control Library'!$A$5:$A$50,"AI-CTRL-031",'Control Library'!$R$5:$R$50,"Implemented")</f>
        <v>0</v>
      </c>
      <c r="K293" s="43" t="str">
        <f aca="false">IF(I293=0,"No wiki control",IF(J293=I293,"Fully covered",IF(J293=0,"Not covered","Partly covered")))</f>
        <v>Not covered</v>
      </c>
      <c r="L293" s="9" t="s">
        <v>1295</v>
      </c>
    </row>
    <row r="294" customFormat="false" ht="23.85" hidden="false" customHeight="false" outlineLevel="0" collapsed="false">
      <c r="A294" s="49" t="s">
        <v>580</v>
      </c>
      <c r="B294" s="49" t="s">
        <v>577</v>
      </c>
      <c r="C294" s="5" t="s">
        <v>1409</v>
      </c>
      <c r="D294" s="6" t="s">
        <v>1410</v>
      </c>
      <c r="E294" s="6" t="s">
        <v>420</v>
      </c>
      <c r="F294" s="6" t="s">
        <v>730</v>
      </c>
      <c r="G294" s="6" t="s">
        <v>424</v>
      </c>
      <c r="H294" s="6"/>
      <c r="I294" s="26" t="n">
        <v>1</v>
      </c>
      <c r="J294" s="26" t="n">
        <f aca="false">COUNTIFS('Control Library'!$A$5:$A$50,"AI-CTRL-031",'Control Library'!$R$5:$R$50,"Implemented")</f>
        <v>0</v>
      </c>
      <c r="K294" s="43" t="str">
        <f aca="false">IF(I294=0,"No wiki control",IF(J294=I294,"Fully covered",IF(J294=0,"Not covered","Partly covered")))</f>
        <v>Not covered</v>
      </c>
      <c r="L294" s="9" t="s">
        <v>1295</v>
      </c>
    </row>
    <row r="295" customFormat="false" ht="23.85" hidden="false" customHeight="false" outlineLevel="0" collapsed="false">
      <c r="A295" s="49" t="s">
        <v>580</v>
      </c>
      <c r="B295" s="49" t="s">
        <v>577</v>
      </c>
      <c r="C295" s="5" t="s">
        <v>1411</v>
      </c>
      <c r="D295" s="6" t="s">
        <v>1412</v>
      </c>
      <c r="E295" s="6" t="s">
        <v>413</v>
      </c>
      <c r="F295" s="6" t="s">
        <v>730</v>
      </c>
      <c r="G295" s="6" t="s">
        <v>399</v>
      </c>
      <c r="H295" s="6"/>
      <c r="I295" s="26" t="n">
        <v>1</v>
      </c>
      <c r="J295" s="26" t="n">
        <f aca="false">COUNTIFS('Control Library'!$A$5:$A$50,"AI-CTRL-030",'Control Library'!$R$5:$R$50,"Implemented")</f>
        <v>0</v>
      </c>
      <c r="K295" s="43" t="str">
        <f aca="false">IF(I295=0,"No wiki control",IF(J295=I295,"Fully covered",IF(J295=0,"Not covered","Partly covered")))</f>
        <v>Not covered</v>
      </c>
      <c r="L295" s="9" t="s">
        <v>1295</v>
      </c>
    </row>
    <row r="296" customFormat="false" ht="23.85" hidden="false" customHeight="false" outlineLevel="0" collapsed="false">
      <c r="A296" s="49" t="s">
        <v>580</v>
      </c>
      <c r="B296" s="49" t="s">
        <v>577</v>
      </c>
      <c r="C296" s="5" t="s">
        <v>1413</v>
      </c>
      <c r="D296" s="6" t="s">
        <v>1414</v>
      </c>
      <c r="E296" s="6" t="s">
        <v>339</v>
      </c>
      <c r="F296" s="6" t="s">
        <v>730</v>
      </c>
      <c r="G296" s="6" t="s">
        <v>343</v>
      </c>
      <c r="H296" s="6"/>
      <c r="I296" s="26" t="n">
        <v>1</v>
      </c>
      <c r="J296" s="26" t="n">
        <f aca="false">COUNTIFS('Control Library'!$A$5:$A$50,"AI-CTRL-021",'Control Library'!$R$5:$R$50,"Implemented")</f>
        <v>0</v>
      </c>
      <c r="K296" s="43" t="str">
        <f aca="false">IF(I296=0,"No wiki control",IF(J296=I296,"Fully covered",IF(J296=0,"Not covered","Partly covered")))</f>
        <v>Not covered</v>
      </c>
      <c r="L296" s="9" t="s">
        <v>1295</v>
      </c>
    </row>
    <row r="297" customFormat="false" ht="23.85" hidden="false" customHeight="false" outlineLevel="0" collapsed="false">
      <c r="A297" s="49" t="s">
        <v>580</v>
      </c>
      <c r="B297" s="49" t="s">
        <v>577</v>
      </c>
      <c r="C297" s="5" t="s">
        <v>1415</v>
      </c>
      <c r="D297" s="6" t="s">
        <v>1416</v>
      </c>
      <c r="E297" s="6" t="s">
        <v>428</v>
      </c>
      <c r="F297" s="6" t="s">
        <v>730</v>
      </c>
      <c r="G297" s="6" t="s">
        <v>431</v>
      </c>
      <c r="H297" s="6"/>
      <c r="I297" s="26" t="n">
        <v>1</v>
      </c>
      <c r="J297" s="26" t="n">
        <f aca="false">COUNTIFS('Control Library'!$A$5:$A$50,"AI-CTRL-032",'Control Library'!$R$5:$R$50,"Implemented")</f>
        <v>0</v>
      </c>
      <c r="K297" s="43" t="str">
        <f aca="false">IF(I297=0,"No wiki control",IF(J297=I297,"Fully covered",IF(J297=0,"Not covered","Partly covered")))</f>
        <v>Not covered</v>
      </c>
      <c r="L297" s="9" t="s">
        <v>1295</v>
      </c>
    </row>
    <row r="298" customFormat="false" ht="23.85" hidden="false" customHeight="false" outlineLevel="0" collapsed="false">
      <c r="A298" s="49" t="s">
        <v>581</v>
      </c>
      <c r="B298" s="49" t="s">
        <v>577</v>
      </c>
      <c r="C298" s="5" t="s">
        <v>1417</v>
      </c>
      <c r="D298" s="6" t="s">
        <v>1418</v>
      </c>
      <c r="E298" s="6" t="s">
        <v>395</v>
      </c>
      <c r="F298" s="6" t="s">
        <v>730</v>
      </c>
      <c r="G298" s="6" t="s">
        <v>399</v>
      </c>
      <c r="H298" s="6"/>
      <c r="I298" s="26" t="n">
        <v>1</v>
      </c>
      <c r="J298" s="26" t="n">
        <f aca="false">COUNTIFS('Control Library'!$A$5:$A$50,"AI-CTRL-028",'Control Library'!$R$5:$R$50,"Implemented")</f>
        <v>0</v>
      </c>
      <c r="K298" s="43" t="str">
        <f aca="false">IF(I298=0,"No wiki control",IF(J298=I298,"Fully covered",IF(J298=0,"Not covered","Partly covered")))</f>
        <v>Not covered</v>
      </c>
      <c r="L298" s="9" t="s">
        <v>1295</v>
      </c>
    </row>
    <row r="299" customFormat="false" ht="23.85" hidden="false" customHeight="false" outlineLevel="0" collapsed="false">
      <c r="A299" s="49" t="s">
        <v>581</v>
      </c>
      <c r="B299" s="49" t="s">
        <v>577</v>
      </c>
      <c r="C299" s="5" t="s">
        <v>1419</v>
      </c>
      <c r="D299" s="6" t="s">
        <v>1420</v>
      </c>
      <c r="E299" s="6" t="s">
        <v>1421</v>
      </c>
      <c r="F299" s="6" t="s">
        <v>730</v>
      </c>
      <c r="G299" s="6" t="s">
        <v>1422</v>
      </c>
      <c r="H299" s="6"/>
      <c r="I299" s="26" t="n">
        <v>2</v>
      </c>
      <c r="J299" s="26" t="n">
        <f aca="false">COUNTIFS('Control Library'!$A$5:$A$50,"AI-CTRL-028",'Control Library'!$R$5:$R$50,"Implemented")+COUNTIFS('Control Library'!$A$5:$A$50,"AI-CTRL-036",'Control Library'!$R$5:$R$50,"Implemented")</f>
        <v>0</v>
      </c>
      <c r="K299" s="43" t="str">
        <f aca="false">IF(I299=0,"No wiki control",IF(J299=I299,"Fully covered",IF(J299=0,"Not covered","Partly covered")))</f>
        <v>Not covered</v>
      </c>
      <c r="L299" s="9" t="s">
        <v>1295</v>
      </c>
    </row>
    <row r="300" customFormat="false" ht="23.85" hidden="false" customHeight="false" outlineLevel="0" collapsed="false">
      <c r="A300" s="49" t="s">
        <v>581</v>
      </c>
      <c r="B300" s="49" t="s">
        <v>577</v>
      </c>
      <c r="C300" s="5" t="s">
        <v>1423</v>
      </c>
      <c r="D300" s="6" t="s">
        <v>1424</v>
      </c>
      <c r="E300" s="6" t="s">
        <v>1425</v>
      </c>
      <c r="F300" s="6" t="s">
        <v>730</v>
      </c>
      <c r="G300" s="6" t="s">
        <v>783</v>
      </c>
      <c r="H300" s="6"/>
      <c r="I300" s="26" t="n">
        <v>3</v>
      </c>
      <c r="J300" s="26" t="n">
        <f aca="false">COUNTIFS('Control Library'!$A$5:$A$50,"AI-CTRL-017",'Control Library'!$R$5:$R$50,"Implemented")+COUNTIFS('Control Library'!$A$5:$A$50,"AI-CTRL-028",'Control Library'!$R$5:$R$50,"Implemented")+COUNTIFS('Control Library'!$A$5:$A$50,"AI-CTRL-032",'Control Library'!$R$5:$R$50,"Implemented")</f>
        <v>0</v>
      </c>
      <c r="K300" s="43" t="str">
        <f aca="false">IF(I300=0,"No wiki control",IF(J300=I300,"Fully covered",IF(J300=0,"Not covered","Partly covered")))</f>
        <v>Not covered</v>
      </c>
      <c r="L300" s="9" t="s">
        <v>1295</v>
      </c>
    </row>
    <row r="301" customFormat="false" ht="23.85" hidden="false" customHeight="false" outlineLevel="0" collapsed="false">
      <c r="A301" s="49" t="s">
        <v>581</v>
      </c>
      <c r="B301" s="49" t="s">
        <v>577</v>
      </c>
      <c r="C301" s="5" t="s">
        <v>1426</v>
      </c>
      <c r="D301" s="6" t="s">
        <v>1427</v>
      </c>
      <c r="E301" s="6" t="s">
        <v>404</v>
      </c>
      <c r="F301" s="6" t="s">
        <v>730</v>
      </c>
      <c r="G301" s="6" t="s">
        <v>399</v>
      </c>
      <c r="H301" s="6"/>
      <c r="I301" s="26" t="n">
        <v>1</v>
      </c>
      <c r="J301" s="26" t="n">
        <f aca="false">COUNTIFS('Control Library'!$A$5:$A$50,"AI-CTRL-029",'Control Library'!$R$5:$R$50,"Implemented")</f>
        <v>0</v>
      </c>
      <c r="K301" s="43" t="str">
        <f aca="false">IF(I301=0,"No wiki control",IF(J301=I301,"Fully covered",IF(J301=0,"Not covered","Partly covered")))</f>
        <v>Not covered</v>
      </c>
      <c r="L301" s="9" t="s">
        <v>1295</v>
      </c>
    </row>
    <row r="302" customFormat="false" ht="23.85" hidden="false" customHeight="false" outlineLevel="0" collapsed="false">
      <c r="A302" s="49" t="s">
        <v>581</v>
      </c>
      <c r="B302" s="49" t="s">
        <v>577</v>
      </c>
      <c r="C302" s="5" t="s">
        <v>1428</v>
      </c>
      <c r="D302" s="6" t="s">
        <v>1429</v>
      </c>
      <c r="E302" s="6" t="s">
        <v>395</v>
      </c>
      <c r="F302" s="6" t="s">
        <v>730</v>
      </c>
      <c r="G302" s="6" t="s">
        <v>399</v>
      </c>
      <c r="H302" s="6"/>
      <c r="I302" s="26" t="n">
        <v>1</v>
      </c>
      <c r="J302" s="26" t="n">
        <f aca="false">COUNTIFS('Control Library'!$A$5:$A$50,"AI-CTRL-028",'Control Library'!$R$5:$R$50,"Implemented")</f>
        <v>0</v>
      </c>
      <c r="K302" s="43" t="str">
        <f aca="false">IF(I302=0,"No wiki control",IF(J302=I302,"Fully covered",IF(J302=0,"Not covered","Partly covered")))</f>
        <v>Not covered</v>
      </c>
      <c r="L302" s="9" t="s">
        <v>1295</v>
      </c>
    </row>
    <row r="303" customFormat="false" ht="23.85" hidden="false" customHeight="false" outlineLevel="0" collapsed="false">
      <c r="A303" s="49" t="s">
        <v>581</v>
      </c>
      <c r="B303" s="49" t="s">
        <v>577</v>
      </c>
      <c r="C303" s="5" t="s">
        <v>1430</v>
      </c>
      <c r="D303" s="6" t="s">
        <v>1431</v>
      </c>
      <c r="E303" s="6" t="s">
        <v>387</v>
      </c>
      <c r="F303" s="6" t="s">
        <v>730</v>
      </c>
      <c r="G303" s="6" t="s">
        <v>390</v>
      </c>
      <c r="H303" s="6"/>
      <c r="I303" s="26" t="n">
        <v>1</v>
      </c>
      <c r="J303" s="26" t="n">
        <f aca="false">COUNTIFS('Control Library'!$A$5:$A$50,"AI-CTRL-027",'Control Library'!$R$5:$R$50,"Implemented")</f>
        <v>0</v>
      </c>
      <c r="K303" s="43" t="str">
        <f aca="false">IF(I303=0,"No wiki control",IF(J303=I303,"Fully covered",IF(J303=0,"Not covered","Partly covered")))</f>
        <v>Not covered</v>
      </c>
      <c r="L303" s="9" t="s">
        <v>1295</v>
      </c>
    </row>
    <row r="304" customFormat="false" ht="23.85" hidden="false" customHeight="false" outlineLevel="0" collapsed="false">
      <c r="A304" s="49" t="s">
        <v>581</v>
      </c>
      <c r="B304" s="49" t="s">
        <v>577</v>
      </c>
      <c r="C304" s="5" t="s">
        <v>1432</v>
      </c>
      <c r="D304" s="6" t="s">
        <v>1433</v>
      </c>
      <c r="E304" s="6" t="s">
        <v>782</v>
      </c>
      <c r="F304" s="6" t="s">
        <v>730</v>
      </c>
      <c r="G304" s="6" t="s">
        <v>783</v>
      </c>
      <c r="H304" s="6"/>
      <c r="I304" s="26" t="n">
        <v>2</v>
      </c>
      <c r="J304" s="26" t="n">
        <f aca="false">COUNTIFS('Control Library'!$A$5:$A$50,"AI-CTRL-017",'Control Library'!$R$5:$R$50,"Implemented")+COUNTIFS('Control Library'!$A$5:$A$50,"AI-CTRL-032",'Control Library'!$R$5:$R$50,"Implemented")</f>
        <v>0</v>
      </c>
      <c r="K304" s="43" t="str">
        <f aca="false">IF(I304=0,"No wiki control",IF(J304=I304,"Fully covered",IF(J304=0,"Not covered","Partly covered")))</f>
        <v>Not covered</v>
      </c>
      <c r="L304" s="9" t="s">
        <v>1295</v>
      </c>
    </row>
    <row r="305" customFormat="false" ht="23.85" hidden="false" customHeight="false" outlineLevel="0" collapsed="false">
      <c r="A305" s="49" t="s">
        <v>581</v>
      </c>
      <c r="B305" s="49" t="s">
        <v>577</v>
      </c>
      <c r="C305" s="5" t="s">
        <v>1434</v>
      </c>
      <c r="D305" s="6" t="s">
        <v>1435</v>
      </c>
      <c r="E305" s="6" t="s">
        <v>413</v>
      </c>
      <c r="F305" s="6" t="s">
        <v>730</v>
      </c>
      <c r="G305" s="6" t="s">
        <v>399</v>
      </c>
      <c r="H305" s="6"/>
      <c r="I305" s="26" t="n">
        <v>1</v>
      </c>
      <c r="J305" s="26" t="n">
        <f aca="false">COUNTIFS('Control Library'!$A$5:$A$50,"AI-CTRL-030",'Control Library'!$R$5:$R$50,"Implemented")</f>
        <v>0</v>
      </c>
      <c r="K305" s="43" t="str">
        <f aca="false">IF(I305=0,"No wiki control",IF(J305=I305,"Fully covered",IF(J305=0,"Not covered","Partly covered")))</f>
        <v>Not covered</v>
      </c>
      <c r="L305" s="9" t="s">
        <v>1295</v>
      </c>
    </row>
    <row r="306" customFormat="false" ht="23.85" hidden="false" customHeight="false" outlineLevel="0" collapsed="false">
      <c r="A306" s="49" t="s">
        <v>581</v>
      </c>
      <c r="B306" s="49" t="s">
        <v>577</v>
      </c>
      <c r="C306" s="5" t="s">
        <v>1436</v>
      </c>
      <c r="D306" s="6" t="s">
        <v>1437</v>
      </c>
      <c r="E306" s="6" t="s">
        <v>1438</v>
      </c>
      <c r="F306" s="6" t="s">
        <v>730</v>
      </c>
      <c r="G306" s="6" t="s">
        <v>808</v>
      </c>
      <c r="H306" s="6"/>
      <c r="I306" s="26" t="n">
        <v>3</v>
      </c>
      <c r="J306" s="26" t="n">
        <f aca="false">COUNTIFS('Control Library'!$A$5:$A$50,"AI-CTRL-024",'Control Library'!$R$5:$R$50,"Implemented")+COUNTIFS('Control Library'!$A$5:$A$50,"AI-CTRL-030",'Control Library'!$R$5:$R$50,"Implemented")+COUNTIFS('Control Library'!$A$5:$A$50,"AI-CTRL-031",'Control Library'!$R$5:$R$50,"Implemented")</f>
        <v>0</v>
      </c>
      <c r="K306" s="43" t="str">
        <f aca="false">IF(I306=0,"No wiki control",IF(J306=I306,"Fully covered",IF(J306=0,"Not covered","Partly covered")))</f>
        <v>Not covered</v>
      </c>
      <c r="L306" s="9" t="s">
        <v>1295</v>
      </c>
    </row>
    <row r="307" customFormat="false" ht="23.85" hidden="false" customHeight="false" outlineLevel="0" collapsed="false">
      <c r="A307" s="49" t="s">
        <v>581</v>
      </c>
      <c r="B307" s="49" t="s">
        <v>577</v>
      </c>
      <c r="C307" s="5" t="s">
        <v>1439</v>
      </c>
      <c r="D307" s="6" t="s">
        <v>1440</v>
      </c>
      <c r="E307" s="6" t="s">
        <v>395</v>
      </c>
      <c r="F307" s="6" t="s">
        <v>730</v>
      </c>
      <c r="G307" s="6" t="s">
        <v>399</v>
      </c>
      <c r="H307" s="6"/>
      <c r="I307" s="26" t="n">
        <v>1</v>
      </c>
      <c r="J307" s="26" t="n">
        <f aca="false">COUNTIFS('Control Library'!$A$5:$A$50,"AI-CTRL-028",'Control Library'!$R$5:$R$50,"Implemented")</f>
        <v>0</v>
      </c>
      <c r="K307" s="43" t="str">
        <f aca="false">IF(I307=0,"No wiki control",IF(J307=I307,"Fully covered",IF(J307=0,"Not covered","Partly covered")))</f>
        <v>Not covered</v>
      </c>
      <c r="L307" s="9" t="s">
        <v>1295</v>
      </c>
    </row>
    <row r="308" customFormat="false" ht="23.85" hidden="false" customHeight="false" outlineLevel="0" collapsed="false">
      <c r="A308" s="49" t="s">
        <v>581</v>
      </c>
      <c r="B308" s="49" t="s">
        <v>577</v>
      </c>
      <c r="C308" s="5" t="s">
        <v>1441</v>
      </c>
      <c r="D308" s="6" t="s">
        <v>1442</v>
      </c>
      <c r="E308" s="6" t="s">
        <v>1443</v>
      </c>
      <c r="F308" s="6" t="s">
        <v>730</v>
      </c>
      <c r="G308" s="6" t="s">
        <v>1444</v>
      </c>
      <c r="H308" s="6"/>
      <c r="I308" s="26" t="n">
        <v>2</v>
      </c>
      <c r="J308" s="26" t="n">
        <f aca="false">COUNTIFS('Control Library'!$A$5:$A$50,"AI-CTRL-031",'Control Library'!$R$5:$R$50,"Implemented")+COUNTIFS('Control Library'!$A$5:$A$50,"AI-CTRL-032",'Control Library'!$R$5:$R$50,"Implemented")</f>
        <v>0</v>
      </c>
      <c r="K308" s="43" t="str">
        <f aca="false">IF(I308=0,"No wiki control",IF(J308=I308,"Fully covered",IF(J308=0,"Not covered","Partly covered")))</f>
        <v>Not covered</v>
      </c>
      <c r="L308" s="9" t="s">
        <v>1295</v>
      </c>
    </row>
    <row r="309" customFormat="false" ht="23.85" hidden="false" customHeight="false" outlineLevel="0" collapsed="false">
      <c r="A309" s="49" t="s">
        <v>581</v>
      </c>
      <c r="B309" s="49" t="s">
        <v>577</v>
      </c>
      <c r="C309" s="5" t="s">
        <v>1445</v>
      </c>
      <c r="D309" s="6" t="s">
        <v>1446</v>
      </c>
      <c r="E309" s="6" t="s">
        <v>263</v>
      </c>
      <c r="F309" s="6" t="s">
        <v>730</v>
      </c>
      <c r="G309" s="6" t="s">
        <v>266</v>
      </c>
      <c r="H309" s="6"/>
      <c r="I309" s="26" t="n">
        <v>1</v>
      </c>
      <c r="J309" s="26" t="n">
        <f aca="false">COUNTIFS('Control Library'!$A$5:$A$50,"AI-CTRL-012",'Control Library'!$R$5:$R$50,"Implemented")</f>
        <v>0</v>
      </c>
      <c r="K309" s="43" t="str">
        <f aca="false">IF(I309=0,"No wiki control",IF(J309=I309,"Fully covered",IF(J309=0,"Not covered","Partly covered")))</f>
        <v>Not covered</v>
      </c>
      <c r="L309" s="9" t="s">
        <v>1295</v>
      </c>
    </row>
    <row r="310" customFormat="false" ht="23.85" hidden="false" customHeight="false" outlineLevel="0" collapsed="false">
      <c r="A310" s="49" t="s">
        <v>581</v>
      </c>
      <c r="B310" s="49" t="s">
        <v>577</v>
      </c>
      <c r="C310" s="5" t="s">
        <v>1447</v>
      </c>
      <c r="D310" s="6" t="s">
        <v>1448</v>
      </c>
      <c r="E310" s="6" t="s">
        <v>1449</v>
      </c>
      <c r="F310" s="6" t="s">
        <v>730</v>
      </c>
      <c r="G310" s="6" t="s">
        <v>1450</v>
      </c>
      <c r="H310" s="6"/>
      <c r="I310" s="26" t="n">
        <v>3</v>
      </c>
      <c r="J310" s="26" t="n">
        <f aca="false">COUNTIFS('Control Library'!$A$5:$A$50,"AI-CTRL-015",'Control Library'!$R$5:$R$50,"Implemented")+COUNTIFS('Control Library'!$A$5:$A$50,"AI-CTRL-018",'Control Library'!$R$5:$R$50,"Implemented")+COUNTIFS('Control Library'!$A$5:$A$50,"AI-CTRL-032",'Control Library'!$R$5:$R$50,"Implemented")</f>
        <v>0</v>
      </c>
      <c r="K310" s="43" t="str">
        <f aca="false">IF(I310=0,"No wiki control",IF(J310=I310,"Fully covered",IF(J310=0,"Not covered","Partly covered")))</f>
        <v>Not covered</v>
      </c>
      <c r="L310" s="9" t="s">
        <v>1295</v>
      </c>
    </row>
    <row r="311" customFormat="false" ht="46.25" hidden="false" customHeight="false" outlineLevel="0" collapsed="false">
      <c r="A311" s="49" t="s">
        <v>581</v>
      </c>
      <c r="B311" s="49" t="s">
        <v>577</v>
      </c>
      <c r="C311" s="5" t="s">
        <v>1451</v>
      </c>
      <c r="D311" s="6" t="s">
        <v>1452</v>
      </c>
      <c r="E311" s="6" t="s">
        <v>1453</v>
      </c>
      <c r="F311" s="6" t="s">
        <v>730</v>
      </c>
      <c r="G311" s="6" t="s">
        <v>1454</v>
      </c>
      <c r="H311" s="6"/>
      <c r="I311" s="26" t="n">
        <v>7</v>
      </c>
      <c r="J311" s="26" t="n">
        <f aca="false">COUNTIFS('Control Library'!$A$5:$A$50,"AI-CTRL-002",'Control Library'!$R$5:$R$50,"Implemented")+COUNTIFS('Control Library'!$A$5:$A$50,"AI-CTRL-003",'Control Library'!$R$5:$R$50,"Implemented")+COUNTIFS('Control Library'!$A$5:$A$50,"AI-CTRL-005",'Control Library'!$R$5:$R$50,"Implemented")+COUNTIFS('Control Library'!$A$5:$A$50,"AI-CTRL-010",'Control Library'!$R$5:$R$50,"Implemented")+COUNTIFS('Control Library'!$A$5:$A$50,"AI-CTRL-020",'Control Library'!$R$5:$R$50,"Implemented")+COUNTIFS('Control Library'!$A$5:$A$50,"AI-CTRL-021",'Control Library'!$R$5:$R$50,"Implemented")+COUNTIFS('Control Library'!$A$5:$A$50,"AI-CTRL-039",'Control Library'!$R$5:$R$50,"Implemented")</f>
        <v>0</v>
      </c>
      <c r="K311" s="43" t="str">
        <f aca="false">IF(I311=0,"No wiki control",IF(J311=I311,"Fully covered",IF(J311=0,"Not covered","Partly covered")))</f>
        <v>Not covered</v>
      </c>
      <c r="L311" s="9" t="s">
        <v>1295</v>
      </c>
    </row>
    <row r="312" customFormat="false" ht="23.85" hidden="false" customHeight="false" outlineLevel="0" collapsed="false">
      <c r="A312" s="49" t="s">
        <v>581</v>
      </c>
      <c r="B312" s="49" t="s">
        <v>577</v>
      </c>
      <c r="C312" s="5" t="s">
        <v>1455</v>
      </c>
      <c r="D312" s="6" t="s">
        <v>1456</v>
      </c>
      <c r="E312" s="6" t="s">
        <v>199</v>
      </c>
      <c r="F312" s="6" t="s">
        <v>730</v>
      </c>
      <c r="G312" s="6" t="s">
        <v>203</v>
      </c>
      <c r="H312" s="6"/>
      <c r="I312" s="26" t="n">
        <v>1</v>
      </c>
      <c r="J312" s="26" t="n">
        <f aca="false">COUNTIFS('Control Library'!$A$5:$A$50,"AI-CTRL-005",'Control Library'!$R$5:$R$50,"Implemented")</f>
        <v>0</v>
      </c>
      <c r="K312" s="43" t="str">
        <f aca="false">IF(I312=0,"No wiki control",IF(J312=I312,"Fully covered",IF(J312=0,"Not covered","Partly covered")))</f>
        <v>Not covered</v>
      </c>
      <c r="L312" s="9" t="s">
        <v>1295</v>
      </c>
    </row>
    <row r="313" customFormat="false" ht="23.85" hidden="false" customHeight="false" outlineLevel="0" collapsed="false">
      <c r="A313" s="49" t="s">
        <v>581</v>
      </c>
      <c r="B313" s="49" t="s">
        <v>577</v>
      </c>
      <c r="C313" s="5" t="s">
        <v>1457</v>
      </c>
      <c r="D313" s="6" t="s">
        <v>1458</v>
      </c>
      <c r="E313" s="6" t="s">
        <v>486</v>
      </c>
      <c r="F313" s="6" t="s">
        <v>730</v>
      </c>
      <c r="G313" s="6" t="s">
        <v>490</v>
      </c>
      <c r="H313" s="6"/>
      <c r="I313" s="26" t="n">
        <v>1</v>
      </c>
      <c r="J313" s="26" t="n">
        <f aca="false">COUNTIFS('Control Library'!$A$5:$A$50,"AI-CTRL-039",'Control Library'!$R$5:$R$50,"Implemented")</f>
        <v>0</v>
      </c>
      <c r="K313" s="43" t="str">
        <f aca="false">IF(I313=0,"No wiki control",IF(J313=I313,"Fully covered",IF(J313=0,"Not covered","Partly covered")))</f>
        <v>Not covered</v>
      </c>
      <c r="L313" s="9" t="s">
        <v>1295</v>
      </c>
    </row>
    <row r="314" customFormat="false" ht="23.85" hidden="false" customHeight="false" outlineLevel="0" collapsed="false">
      <c r="A314" s="49" t="s">
        <v>581</v>
      </c>
      <c r="B314" s="49" t="s">
        <v>577</v>
      </c>
      <c r="C314" s="5" t="s">
        <v>1459</v>
      </c>
      <c r="D314" s="6" t="s">
        <v>1460</v>
      </c>
      <c r="E314" s="6" t="s">
        <v>420</v>
      </c>
      <c r="F314" s="6" t="s">
        <v>730</v>
      </c>
      <c r="G314" s="6" t="s">
        <v>424</v>
      </c>
      <c r="H314" s="6"/>
      <c r="I314" s="26" t="n">
        <v>1</v>
      </c>
      <c r="J314" s="26" t="n">
        <f aca="false">COUNTIFS('Control Library'!$A$5:$A$50,"AI-CTRL-031",'Control Library'!$R$5:$R$50,"Implemented")</f>
        <v>0</v>
      </c>
      <c r="K314" s="43" t="str">
        <f aca="false">IF(I314=0,"No wiki control",IF(J314=I314,"Fully covered",IF(J314=0,"Not covered","Partly covered")))</f>
        <v>Not covered</v>
      </c>
      <c r="L314" s="9" t="s">
        <v>1295</v>
      </c>
    </row>
    <row r="315" customFormat="false" ht="23.85" hidden="false" customHeight="false" outlineLevel="0" collapsed="false">
      <c r="A315" s="49" t="s">
        <v>581</v>
      </c>
      <c r="B315" s="49" t="s">
        <v>577</v>
      </c>
      <c r="C315" s="5" t="s">
        <v>1461</v>
      </c>
      <c r="D315" s="6" t="s">
        <v>1462</v>
      </c>
      <c r="E315" s="6" t="s">
        <v>1463</v>
      </c>
      <c r="F315" s="6" t="s">
        <v>730</v>
      </c>
      <c r="G315" s="6" t="s">
        <v>1464</v>
      </c>
      <c r="H315" s="6"/>
      <c r="I315" s="26" t="n">
        <v>4</v>
      </c>
      <c r="J315" s="26" t="n">
        <f aca="false">COUNTIFS('Control Library'!$A$5:$A$50,"AI-CTRL-006",'Control Library'!$R$5:$R$50,"Implemented")+COUNTIFS('Control Library'!$A$5:$A$50,"AI-CTRL-008",'Control Library'!$R$5:$R$50,"Implemented")+COUNTIFS('Control Library'!$A$5:$A$50,"AI-CTRL-009",'Control Library'!$R$5:$R$50,"Implemented")+COUNTIFS('Control Library'!$A$5:$A$50,"AI-CTRL-035",'Control Library'!$R$5:$R$50,"Implemented")</f>
        <v>0</v>
      </c>
      <c r="K315" s="43" t="str">
        <f aca="false">IF(I315=0,"No wiki control",IF(J315=I315,"Fully covered",IF(J315=0,"Not covered","Partly covered")))</f>
        <v>Not covered</v>
      </c>
      <c r="L315" s="9" t="s">
        <v>1295</v>
      </c>
    </row>
    <row r="316" customFormat="false" ht="23.85" hidden="false" customHeight="false" outlineLevel="0" collapsed="false">
      <c r="A316" s="49" t="s">
        <v>581</v>
      </c>
      <c r="B316" s="49" t="s">
        <v>577</v>
      </c>
      <c r="C316" s="5" t="s">
        <v>1465</v>
      </c>
      <c r="D316" s="6" t="s">
        <v>1466</v>
      </c>
      <c r="E316" s="6" t="s">
        <v>876</v>
      </c>
      <c r="F316" s="6" t="s">
        <v>730</v>
      </c>
      <c r="G316" s="6" t="s">
        <v>327</v>
      </c>
      <c r="H316" s="6"/>
      <c r="I316" s="26" t="n">
        <v>2</v>
      </c>
      <c r="J316" s="26" t="n">
        <f aca="false">COUNTIFS('Control Library'!$A$5:$A$50,"AI-CTRL-019",'Control Library'!$R$5:$R$50,"Implemented")+COUNTIFS('Control Library'!$A$5:$A$50,"AI-CTRL-029",'Control Library'!$R$5:$R$50,"Implemented")</f>
        <v>0</v>
      </c>
      <c r="K316" s="43" t="str">
        <f aca="false">IF(I316=0,"No wiki control",IF(J316=I316,"Fully covered",IF(J316=0,"Not covered","Partly covered")))</f>
        <v>Not covered</v>
      </c>
      <c r="L316" s="9" t="s">
        <v>1295</v>
      </c>
    </row>
    <row r="317" customFormat="false" ht="23.85" hidden="false" customHeight="false" outlineLevel="0" collapsed="false">
      <c r="A317" s="49" t="s">
        <v>581</v>
      </c>
      <c r="B317" s="49" t="s">
        <v>577</v>
      </c>
      <c r="C317" s="5" t="s">
        <v>1467</v>
      </c>
      <c r="D317" s="6" t="s">
        <v>1468</v>
      </c>
      <c r="E317" s="6" t="s">
        <v>300</v>
      </c>
      <c r="F317" s="6" t="s">
        <v>730</v>
      </c>
      <c r="G317" s="6" t="s">
        <v>303</v>
      </c>
      <c r="H317" s="6"/>
      <c r="I317" s="26" t="n">
        <v>1</v>
      </c>
      <c r="J317" s="26" t="n">
        <f aca="false">COUNTIFS('Control Library'!$A$5:$A$50,"AI-CTRL-016",'Control Library'!$R$5:$R$50,"Implemented")</f>
        <v>0</v>
      </c>
      <c r="K317" s="43" t="str">
        <f aca="false">IF(I317=0,"No wiki control",IF(J317=I317,"Fully covered",IF(J317=0,"Not covered","Partly covered")))</f>
        <v>Not covered</v>
      </c>
      <c r="L317" s="9" t="s">
        <v>1295</v>
      </c>
    </row>
    <row r="318" customFormat="false" ht="23.85" hidden="false" customHeight="false" outlineLevel="0" collapsed="false">
      <c r="A318" s="49" t="s">
        <v>581</v>
      </c>
      <c r="B318" s="49" t="s">
        <v>577</v>
      </c>
      <c r="C318" s="5" t="s">
        <v>1469</v>
      </c>
      <c r="D318" s="6" t="s">
        <v>1470</v>
      </c>
      <c r="E318" s="6" t="s">
        <v>779</v>
      </c>
      <c r="F318" s="6" t="s">
        <v>730</v>
      </c>
      <c r="G318" s="6" t="s">
        <v>303</v>
      </c>
      <c r="H318" s="6"/>
      <c r="I318" s="26" t="n">
        <v>2</v>
      </c>
      <c r="J318" s="26" t="n">
        <f aca="false">COUNTIFS('Control Library'!$A$5:$A$50,"AI-CTRL-016",'Control Library'!$R$5:$R$50,"Implemented")+COUNTIFS('Control Library'!$A$5:$A$50,"AI-CTRL-018",'Control Library'!$R$5:$R$50,"Implemented")</f>
        <v>0</v>
      </c>
      <c r="K318" s="43" t="str">
        <f aca="false">IF(I318=0,"No wiki control",IF(J318=I318,"Fully covered",IF(J318=0,"Not covered","Partly covered")))</f>
        <v>Not covered</v>
      </c>
      <c r="L318" s="9" t="s">
        <v>1295</v>
      </c>
    </row>
    <row r="319" customFormat="false" ht="23.85" hidden="false" customHeight="false" outlineLevel="0" collapsed="false">
      <c r="A319" s="49" t="s">
        <v>581</v>
      </c>
      <c r="B319" s="49" t="s">
        <v>577</v>
      </c>
      <c r="C319" s="5" t="s">
        <v>1471</v>
      </c>
      <c r="D319" s="6" t="s">
        <v>1472</v>
      </c>
      <c r="E319" s="6" t="s">
        <v>1473</v>
      </c>
      <c r="F319" s="6" t="s">
        <v>730</v>
      </c>
      <c r="G319" s="6" t="s">
        <v>1474</v>
      </c>
      <c r="H319" s="6"/>
      <c r="I319" s="26" t="n">
        <v>3</v>
      </c>
      <c r="J319" s="26" t="n">
        <f aca="false">COUNTIFS('Control Library'!$A$5:$A$50,"AI-CTRL-016",'Control Library'!$R$5:$R$50,"Implemented")+COUNTIFS('Control Library'!$A$5:$A$50,"AI-CTRL-022",'Control Library'!$R$5:$R$50,"Implemented")+COUNTIFS('Control Library'!$A$5:$A$50,"AI-CTRL-024",'Control Library'!$R$5:$R$50,"Implemented")</f>
        <v>0</v>
      </c>
      <c r="K319" s="43" t="str">
        <f aca="false">IF(I319=0,"No wiki control",IF(J319=I319,"Fully covered",IF(J319=0,"Not covered","Partly covered")))</f>
        <v>Not covered</v>
      </c>
      <c r="L319" s="9" t="s">
        <v>1295</v>
      </c>
    </row>
    <row r="320" customFormat="false" ht="23.85" hidden="false" customHeight="false" outlineLevel="0" collapsed="false">
      <c r="A320" s="49" t="s">
        <v>581</v>
      </c>
      <c r="B320" s="49" t="s">
        <v>577</v>
      </c>
      <c r="C320" s="5" t="s">
        <v>1475</v>
      </c>
      <c r="D320" s="6" t="s">
        <v>1476</v>
      </c>
      <c r="E320" s="6" t="s">
        <v>805</v>
      </c>
      <c r="F320" s="6" t="s">
        <v>730</v>
      </c>
      <c r="G320" s="6" t="s">
        <v>542</v>
      </c>
      <c r="H320" s="6"/>
      <c r="I320" s="26" t="n">
        <v>2</v>
      </c>
      <c r="J320" s="26" t="n">
        <f aca="false">COUNTIFS('Control Library'!$A$5:$A$50,"AI-CTRL-023",'Control Library'!$R$5:$R$50,"Implemented")+COUNTIFS('Control Library'!$A$5:$A$50,"AI-CTRL-045",'Control Library'!$R$5:$R$50,"Implemented")</f>
        <v>0</v>
      </c>
      <c r="K320" s="43" t="str">
        <f aca="false">IF(I320=0,"No wiki control",IF(J320=I320,"Fully covered",IF(J320=0,"Not covered","Partly covered")))</f>
        <v>Not covered</v>
      </c>
      <c r="L320" s="9" t="s">
        <v>1295</v>
      </c>
    </row>
    <row r="321" customFormat="false" ht="23.85" hidden="false" customHeight="false" outlineLevel="0" collapsed="false">
      <c r="A321" s="49" t="s">
        <v>581</v>
      </c>
      <c r="B321" s="49" t="s">
        <v>577</v>
      </c>
      <c r="C321" s="5" t="s">
        <v>1477</v>
      </c>
      <c r="D321" s="6" t="s">
        <v>1478</v>
      </c>
      <c r="E321" s="6" t="s">
        <v>347</v>
      </c>
      <c r="F321" s="6" t="s">
        <v>730</v>
      </c>
      <c r="G321" s="6" t="s">
        <v>351</v>
      </c>
      <c r="H321" s="6"/>
      <c r="I321" s="26" t="n">
        <v>1</v>
      </c>
      <c r="J321" s="26" t="n">
        <f aca="false">COUNTIFS('Control Library'!$A$5:$A$50,"AI-CTRL-022",'Control Library'!$R$5:$R$50,"Implemented")</f>
        <v>0</v>
      </c>
      <c r="K321" s="43" t="str">
        <f aca="false">IF(I321=0,"No wiki control",IF(J321=I321,"Fully covered",IF(J321=0,"Not covered","Partly covered")))</f>
        <v>Not covered</v>
      </c>
      <c r="L321" s="9" t="s">
        <v>1295</v>
      </c>
    </row>
    <row r="322" customFormat="false" ht="23.85" hidden="false" customHeight="false" outlineLevel="0" collapsed="false">
      <c r="A322" s="49" t="s">
        <v>581</v>
      </c>
      <c r="B322" s="49" t="s">
        <v>577</v>
      </c>
      <c r="C322" s="5" t="s">
        <v>1479</v>
      </c>
      <c r="D322" s="6" t="s">
        <v>1480</v>
      </c>
      <c r="E322" s="6" t="s">
        <v>380</v>
      </c>
      <c r="F322" s="6" t="s">
        <v>730</v>
      </c>
      <c r="G322" s="6" t="s">
        <v>383</v>
      </c>
      <c r="H322" s="6"/>
      <c r="I322" s="26" t="n">
        <v>1</v>
      </c>
      <c r="J322" s="26" t="n">
        <f aca="false">COUNTIFS('Control Library'!$A$5:$A$50,"AI-CTRL-026",'Control Library'!$R$5:$R$50,"Implemented")</f>
        <v>0</v>
      </c>
      <c r="K322" s="43" t="str">
        <f aca="false">IF(I322=0,"No wiki control",IF(J322=I322,"Fully covered",IF(J322=0,"Not covered","Partly covered")))</f>
        <v>Not covered</v>
      </c>
      <c r="L322" s="9" t="s">
        <v>1295</v>
      </c>
    </row>
    <row r="323" customFormat="false" ht="23.85" hidden="false" customHeight="false" outlineLevel="0" collapsed="false">
      <c r="A323" s="49" t="s">
        <v>581</v>
      </c>
      <c r="B323" s="49" t="s">
        <v>577</v>
      </c>
      <c r="C323" s="5" t="s">
        <v>1481</v>
      </c>
      <c r="D323" s="6" t="s">
        <v>1482</v>
      </c>
      <c r="E323" s="6" t="s">
        <v>387</v>
      </c>
      <c r="F323" s="6" t="s">
        <v>730</v>
      </c>
      <c r="G323" s="6" t="s">
        <v>390</v>
      </c>
      <c r="H323" s="6"/>
      <c r="I323" s="26" t="n">
        <v>1</v>
      </c>
      <c r="J323" s="26" t="n">
        <f aca="false">COUNTIFS('Control Library'!$A$5:$A$50,"AI-CTRL-027",'Control Library'!$R$5:$R$50,"Implemented")</f>
        <v>0</v>
      </c>
      <c r="K323" s="43" t="str">
        <f aca="false">IF(I323=0,"No wiki control",IF(J323=I323,"Fully covered",IF(J323=0,"Not covered","Partly covered")))</f>
        <v>Not covered</v>
      </c>
      <c r="L323" s="9" t="s">
        <v>1295</v>
      </c>
    </row>
    <row r="324" customFormat="false" ht="23.85" hidden="false" customHeight="false" outlineLevel="0" collapsed="false">
      <c r="A324" s="49" t="s">
        <v>581</v>
      </c>
      <c r="B324" s="49" t="s">
        <v>577</v>
      </c>
      <c r="C324" s="5" t="s">
        <v>1483</v>
      </c>
      <c r="D324" s="6" t="s">
        <v>1484</v>
      </c>
      <c r="E324" s="6" t="s">
        <v>1485</v>
      </c>
      <c r="F324" s="6" t="s">
        <v>730</v>
      </c>
      <c r="G324" s="6" t="s">
        <v>1486</v>
      </c>
      <c r="H324" s="6"/>
      <c r="I324" s="26" t="n">
        <v>3</v>
      </c>
      <c r="J324" s="26" t="n">
        <f aca="false">COUNTIFS('Control Library'!$A$5:$A$50,"AI-CTRL-005",'Control Library'!$R$5:$R$50,"Implemented")+COUNTIFS('Control Library'!$A$5:$A$50,"AI-CTRL-020",'Control Library'!$R$5:$R$50,"Implemented")+COUNTIFS('Control Library'!$A$5:$A$50,"AI-CTRL-022",'Control Library'!$R$5:$R$50,"Implemented")</f>
        <v>0</v>
      </c>
      <c r="K324" s="43" t="str">
        <f aca="false">IF(I324=0,"No wiki control",IF(J324=I324,"Fully covered",IF(J324=0,"Not covered","Partly covered")))</f>
        <v>Not covered</v>
      </c>
      <c r="L324" s="9" t="s">
        <v>1295</v>
      </c>
    </row>
    <row r="325" customFormat="false" ht="23.85" hidden="false" customHeight="false" outlineLevel="0" collapsed="false">
      <c r="A325" s="49" t="s">
        <v>581</v>
      </c>
      <c r="B325" s="49" t="s">
        <v>577</v>
      </c>
      <c r="C325" s="5" t="s">
        <v>1487</v>
      </c>
      <c r="D325" s="6" t="s">
        <v>1488</v>
      </c>
      <c r="E325" s="6" t="s">
        <v>339</v>
      </c>
      <c r="F325" s="6" t="s">
        <v>730</v>
      </c>
      <c r="G325" s="6" t="s">
        <v>343</v>
      </c>
      <c r="H325" s="6"/>
      <c r="I325" s="26" t="n">
        <v>1</v>
      </c>
      <c r="J325" s="26" t="n">
        <f aca="false">COUNTIFS('Control Library'!$A$5:$A$50,"AI-CTRL-021",'Control Library'!$R$5:$R$50,"Implemented")</f>
        <v>0</v>
      </c>
      <c r="K325" s="43" t="str">
        <f aca="false">IF(I325=0,"No wiki control",IF(J325=I325,"Fully covered",IF(J325=0,"Not covered","Partly covered")))</f>
        <v>Not covered</v>
      </c>
      <c r="L325" s="9" t="s">
        <v>1295</v>
      </c>
    </row>
    <row r="326" customFormat="false" ht="23.85" hidden="false" customHeight="false" outlineLevel="0" collapsed="false">
      <c r="A326" s="49" t="s">
        <v>581</v>
      </c>
      <c r="B326" s="49" t="s">
        <v>577</v>
      </c>
      <c r="C326" s="5" t="s">
        <v>1489</v>
      </c>
      <c r="D326" s="6" t="s">
        <v>1490</v>
      </c>
      <c r="E326" s="6" t="s">
        <v>444</v>
      </c>
      <c r="F326" s="6" t="s">
        <v>730</v>
      </c>
      <c r="G326" s="6" t="s">
        <v>447</v>
      </c>
      <c r="H326" s="6"/>
      <c r="I326" s="26" t="n">
        <v>1</v>
      </c>
      <c r="J326" s="26" t="n">
        <f aca="false">COUNTIFS('Control Library'!$A$5:$A$50,"AI-CTRL-034",'Control Library'!$R$5:$R$50,"Implemented")</f>
        <v>0</v>
      </c>
      <c r="K326" s="43" t="str">
        <f aca="false">IF(I326=0,"No wiki control",IF(J326=I326,"Fully covered",IF(J326=0,"Not covered","Partly covered")))</f>
        <v>Not covered</v>
      </c>
      <c r="L326" s="9" t="s">
        <v>1295</v>
      </c>
    </row>
    <row r="327" customFormat="false" ht="23.85" hidden="false" customHeight="false" outlineLevel="0" collapsed="false">
      <c r="A327" s="49" t="s">
        <v>581</v>
      </c>
      <c r="B327" s="49" t="s">
        <v>577</v>
      </c>
      <c r="C327" s="5" t="s">
        <v>1491</v>
      </c>
      <c r="D327" s="6" t="s">
        <v>1492</v>
      </c>
      <c r="E327" s="6" t="s">
        <v>914</v>
      </c>
      <c r="F327" s="6" t="s">
        <v>730</v>
      </c>
      <c r="G327" s="6" t="s">
        <v>1493</v>
      </c>
      <c r="H327" s="6"/>
      <c r="I327" s="26" t="n">
        <v>3</v>
      </c>
      <c r="J327" s="26" t="n">
        <f aca="false">COUNTIFS('Control Library'!$A$5:$A$50,"AI-CTRL-025",'Control Library'!$R$5:$R$50,"Implemented")+COUNTIFS('Control Library'!$A$5:$A$50,"AI-CTRL-036",'Control Library'!$R$5:$R$50,"Implemented")+COUNTIFS('Control Library'!$A$5:$A$50,"AI-CTRL-040",'Control Library'!$R$5:$R$50,"Implemented")</f>
        <v>0</v>
      </c>
      <c r="K327" s="43" t="str">
        <f aca="false">IF(I327=0,"No wiki control",IF(J327=I327,"Fully covered",IF(J327=0,"Not covered","Partly covered")))</f>
        <v>Not covered</v>
      </c>
      <c r="L327" s="9" t="s">
        <v>1295</v>
      </c>
    </row>
    <row r="328" customFormat="false" ht="23.85" hidden="false" customHeight="false" outlineLevel="0" collapsed="false">
      <c r="A328" s="49" t="s">
        <v>581</v>
      </c>
      <c r="B328" s="49" t="s">
        <v>577</v>
      </c>
      <c r="C328" s="5" t="s">
        <v>1494</v>
      </c>
      <c r="D328" s="6" t="s">
        <v>1495</v>
      </c>
      <c r="E328" s="6" t="s">
        <v>371</v>
      </c>
      <c r="F328" s="6" t="s">
        <v>730</v>
      </c>
      <c r="G328" s="6" t="s">
        <v>375</v>
      </c>
      <c r="H328" s="6"/>
      <c r="I328" s="26" t="n">
        <v>1</v>
      </c>
      <c r="J328" s="26" t="n">
        <f aca="false">COUNTIFS('Control Library'!$A$5:$A$50,"AI-CTRL-025",'Control Library'!$R$5:$R$50,"Implemented")</f>
        <v>0</v>
      </c>
      <c r="K328" s="43" t="str">
        <f aca="false">IF(I328=0,"No wiki control",IF(J328=I328,"Fully covered",IF(J328=0,"Not covered","Partly covered")))</f>
        <v>Not covered</v>
      </c>
      <c r="L328" s="9" t="s">
        <v>1295</v>
      </c>
    </row>
    <row r="329" customFormat="false" ht="23.85" hidden="false" customHeight="false" outlineLevel="0" collapsed="false">
      <c r="A329" s="49" t="s">
        <v>581</v>
      </c>
      <c r="B329" s="49" t="s">
        <v>577</v>
      </c>
      <c r="C329" s="5" t="s">
        <v>1496</v>
      </c>
      <c r="D329" s="6" t="s">
        <v>1497</v>
      </c>
      <c r="E329" s="6" t="s">
        <v>209</v>
      </c>
      <c r="F329" s="6" t="s">
        <v>730</v>
      </c>
      <c r="G329" s="6" t="s">
        <v>214</v>
      </c>
      <c r="H329" s="6"/>
      <c r="I329" s="26" t="n">
        <v>1</v>
      </c>
      <c r="J329" s="26" t="n">
        <f aca="false">COUNTIFS('Control Library'!$A$5:$A$50,"AI-CTRL-006",'Control Library'!$R$5:$R$50,"Implemented")</f>
        <v>0</v>
      </c>
      <c r="K329" s="43" t="str">
        <f aca="false">IF(I329=0,"No wiki control",IF(J329=I329,"Fully covered",IF(J329=0,"Not covered","Partly covered")))</f>
        <v>Not covered</v>
      </c>
      <c r="L329" s="9" t="s">
        <v>1295</v>
      </c>
    </row>
    <row r="330" customFormat="false" ht="46.25" hidden="false" customHeight="false" outlineLevel="0" collapsed="false">
      <c r="A330" s="49" t="s">
        <v>582</v>
      </c>
      <c r="B330" s="49" t="s">
        <v>577</v>
      </c>
      <c r="C330" s="5" t="s">
        <v>1498</v>
      </c>
      <c r="D330" s="6" t="s">
        <v>1499</v>
      </c>
      <c r="E330" s="6" t="s">
        <v>1500</v>
      </c>
      <c r="F330" s="6" t="s">
        <v>730</v>
      </c>
      <c r="G330" s="6" t="s">
        <v>1501</v>
      </c>
      <c r="H330" s="6"/>
      <c r="I330" s="26" t="n">
        <v>7</v>
      </c>
      <c r="J330" s="26" t="n">
        <f aca="false">COUNTIFS('Control Library'!$A$5:$A$50,"AI-CTRL-006",'Control Library'!$R$5:$R$50,"Implemented")+COUNTIFS('Control Library'!$A$5:$A$50,"AI-CTRL-022",'Control Library'!$R$5:$R$50,"Implemented")+COUNTIFS('Control Library'!$A$5:$A$50,"AI-CTRL-023",'Control Library'!$R$5:$R$50,"Implemented")+COUNTIFS('Control Library'!$A$5:$A$50,"AI-CTRL-024",'Control Library'!$R$5:$R$50,"Implemented")+COUNTIFS('Control Library'!$A$5:$A$50,"AI-CTRL-025",'Control Library'!$R$5:$R$50,"Implemented")+COUNTIFS('Control Library'!$A$5:$A$50,"AI-CTRL-026",'Control Library'!$R$5:$R$50,"Implemented")+COUNTIFS('Control Library'!$A$5:$A$50,"AI-CTRL-027",'Control Library'!$R$5:$R$50,"Implemented")</f>
        <v>0</v>
      </c>
      <c r="K330" s="43" t="str">
        <f aca="false">IF(I330=0,"No wiki control",IF(J330=I330,"Fully covered",IF(J330=0,"Not covered","Partly covered")))</f>
        <v>Not covered</v>
      </c>
      <c r="L330" s="9" t="s">
        <v>1502</v>
      </c>
    </row>
    <row r="331" customFormat="false" ht="23.85" hidden="false" customHeight="false" outlineLevel="0" collapsed="false">
      <c r="A331" s="49" t="s">
        <v>582</v>
      </c>
      <c r="B331" s="49" t="s">
        <v>577</v>
      </c>
      <c r="C331" s="5" t="s">
        <v>1503</v>
      </c>
      <c r="D331" s="6" t="s">
        <v>1504</v>
      </c>
      <c r="E331" s="6" t="s">
        <v>444</v>
      </c>
      <c r="F331" s="6" t="s">
        <v>730</v>
      </c>
      <c r="G331" s="6" t="s">
        <v>447</v>
      </c>
      <c r="H331" s="6"/>
      <c r="I331" s="26" t="n">
        <v>1</v>
      </c>
      <c r="J331" s="26" t="n">
        <f aca="false">COUNTIFS('Control Library'!$A$5:$A$50,"AI-CTRL-034",'Control Library'!$R$5:$R$50,"Implemented")</f>
        <v>0</v>
      </c>
      <c r="K331" s="43" t="str">
        <f aca="false">IF(I331=0,"No wiki control",IF(J331=I331,"Fully covered",IF(J331=0,"Not covered","Partly covered")))</f>
        <v>Not covered</v>
      </c>
      <c r="L331" s="9" t="s">
        <v>1502</v>
      </c>
    </row>
    <row r="332" customFormat="false" ht="23.85" hidden="false" customHeight="false" outlineLevel="0" collapsed="false">
      <c r="A332" s="49" t="s">
        <v>582</v>
      </c>
      <c r="B332" s="49" t="s">
        <v>577</v>
      </c>
      <c r="C332" s="5" t="s">
        <v>1505</v>
      </c>
      <c r="D332" s="6" t="s">
        <v>1506</v>
      </c>
      <c r="E332" s="6"/>
      <c r="F332" s="6" t="s">
        <v>640</v>
      </c>
      <c r="G332" s="6"/>
      <c r="H332" s="6"/>
      <c r="I332" s="26" t="n">
        <v>0</v>
      </c>
      <c r="J332" s="26" t="n">
        <f aca="false">0</f>
        <v>0</v>
      </c>
      <c r="K332" s="43" t="str">
        <f aca="false">IF(I332=0,"No wiki control",IF(J332=I332,"Fully covered",IF(J332=0,"Not covered","Partly covered")))</f>
        <v>No wiki control</v>
      </c>
      <c r="L332" s="9" t="s">
        <v>1502</v>
      </c>
    </row>
    <row r="333" customFormat="false" ht="23.85" hidden="false" customHeight="false" outlineLevel="0" collapsed="false">
      <c r="A333" s="49" t="s">
        <v>582</v>
      </c>
      <c r="B333" s="49" t="s">
        <v>577</v>
      </c>
      <c r="C333" s="5" t="s">
        <v>1507</v>
      </c>
      <c r="D333" s="6" t="s">
        <v>1508</v>
      </c>
      <c r="E333" s="6" t="s">
        <v>1509</v>
      </c>
      <c r="F333" s="6" t="s">
        <v>730</v>
      </c>
      <c r="G333" s="6" t="s">
        <v>424</v>
      </c>
      <c r="H333" s="6"/>
      <c r="I333" s="26" t="n">
        <v>3</v>
      </c>
      <c r="J333" s="26" t="n">
        <f aca="false">COUNTIFS('Control Library'!$A$5:$A$50,"AI-CTRL-028",'Control Library'!$R$5:$R$50,"Implemented")+COUNTIFS('Control Library'!$A$5:$A$50,"AI-CTRL-030",'Control Library'!$R$5:$R$50,"Implemented")+COUNTIFS('Control Library'!$A$5:$A$50,"AI-CTRL-031",'Control Library'!$R$5:$R$50,"Implemented")</f>
        <v>0</v>
      </c>
      <c r="K333" s="43" t="str">
        <f aca="false">IF(I333=0,"No wiki control",IF(J333=I333,"Fully covered",IF(J333=0,"Not covered","Partly covered")))</f>
        <v>Not covered</v>
      </c>
      <c r="L333" s="9" t="s">
        <v>1502</v>
      </c>
    </row>
    <row r="334" customFormat="false" ht="23.85" hidden="false" customHeight="false" outlineLevel="0" collapsed="false">
      <c r="A334" s="49" t="s">
        <v>582</v>
      </c>
      <c r="B334" s="49" t="s">
        <v>577</v>
      </c>
      <c r="C334" s="5" t="s">
        <v>1510</v>
      </c>
      <c r="D334" s="6" t="s">
        <v>1511</v>
      </c>
      <c r="E334" s="6" t="s">
        <v>1512</v>
      </c>
      <c r="F334" s="6" t="s">
        <v>730</v>
      </c>
      <c r="G334" s="6" t="s">
        <v>1513</v>
      </c>
      <c r="H334" s="6"/>
      <c r="I334" s="26" t="n">
        <v>2</v>
      </c>
      <c r="J334" s="26" t="n">
        <f aca="false">COUNTIFS('Control Library'!$A$5:$A$50,"AI-CTRL-029",'Control Library'!$R$5:$R$50,"Implemented")+COUNTIFS('Control Library'!$A$5:$A$50,"AI-CTRL-034",'Control Library'!$R$5:$R$50,"Implemented")</f>
        <v>0</v>
      </c>
      <c r="K334" s="43" t="str">
        <f aca="false">IF(I334=0,"No wiki control",IF(J334=I334,"Fully covered",IF(J334=0,"Not covered","Partly covered")))</f>
        <v>Not covered</v>
      </c>
      <c r="L334" s="9" t="s">
        <v>1502</v>
      </c>
    </row>
    <row r="335" customFormat="false" ht="23.85" hidden="false" customHeight="false" outlineLevel="0" collapsed="false">
      <c r="A335" s="49" t="s">
        <v>582</v>
      </c>
      <c r="B335" s="49" t="s">
        <v>577</v>
      </c>
      <c r="C335" s="5" t="s">
        <v>1514</v>
      </c>
      <c r="D335" s="6" t="s">
        <v>1515</v>
      </c>
      <c r="E335" s="6" t="s">
        <v>1516</v>
      </c>
      <c r="F335" s="6" t="s">
        <v>730</v>
      </c>
      <c r="G335" s="6" t="s">
        <v>1513</v>
      </c>
      <c r="H335" s="6"/>
      <c r="I335" s="26" t="n">
        <v>3</v>
      </c>
      <c r="J335" s="26" t="n">
        <f aca="false">COUNTIFS('Control Library'!$A$5:$A$50,"AI-CTRL-019",'Control Library'!$R$5:$R$50,"Implemented")+COUNTIFS('Control Library'!$A$5:$A$50,"AI-CTRL-029",'Control Library'!$R$5:$R$50,"Implemented")+COUNTIFS('Control Library'!$A$5:$A$50,"AI-CTRL-034",'Control Library'!$R$5:$R$50,"Implemented")</f>
        <v>0</v>
      </c>
      <c r="K335" s="43" t="str">
        <f aca="false">IF(I335=0,"No wiki control",IF(J335=I335,"Fully covered",IF(J335=0,"Not covered","Partly covered")))</f>
        <v>Not covered</v>
      </c>
      <c r="L335" s="9" t="s">
        <v>1502</v>
      </c>
    </row>
    <row r="336" customFormat="false" ht="23.85" hidden="false" customHeight="false" outlineLevel="0" collapsed="false">
      <c r="A336" s="49" t="s">
        <v>582</v>
      </c>
      <c r="B336" s="49" t="s">
        <v>577</v>
      </c>
      <c r="C336" s="5" t="s">
        <v>1517</v>
      </c>
      <c r="D336" s="6" t="s">
        <v>1518</v>
      </c>
      <c r="E336" s="6" t="s">
        <v>771</v>
      </c>
      <c r="F336" s="6" t="s">
        <v>730</v>
      </c>
      <c r="G336" s="6" t="s">
        <v>772</v>
      </c>
      <c r="H336" s="6"/>
      <c r="I336" s="26" t="n">
        <v>2</v>
      </c>
      <c r="J336" s="26" t="n">
        <f aca="false">COUNTIFS('Control Library'!$A$5:$A$50,"AI-CTRL-036",'Control Library'!$R$5:$R$50,"Implemented")+COUNTIFS('Control Library'!$A$5:$A$50,"AI-CTRL-040",'Control Library'!$R$5:$R$50,"Implemented")</f>
        <v>0</v>
      </c>
      <c r="K336" s="43" t="str">
        <f aca="false">IF(I336=0,"No wiki control",IF(J336=I336,"Fully covered",IF(J336=0,"Not covered","Partly covered")))</f>
        <v>Not covered</v>
      </c>
      <c r="L336" s="9" t="s">
        <v>1502</v>
      </c>
    </row>
    <row r="337" customFormat="false" ht="23.85" hidden="false" customHeight="false" outlineLevel="0" collapsed="false">
      <c r="A337" s="49" t="s">
        <v>582</v>
      </c>
      <c r="B337" s="49" t="s">
        <v>577</v>
      </c>
      <c r="C337" s="5" t="s">
        <v>1519</v>
      </c>
      <c r="D337" s="6" t="s">
        <v>1520</v>
      </c>
      <c r="E337" s="6" t="s">
        <v>1521</v>
      </c>
      <c r="F337" s="6" t="s">
        <v>730</v>
      </c>
      <c r="G337" s="6" t="s">
        <v>1522</v>
      </c>
      <c r="H337" s="6"/>
      <c r="I337" s="26" t="n">
        <v>4</v>
      </c>
      <c r="J337" s="26" t="n">
        <f aca="false">COUNTIFS('Control Library'!$A$5:$A$50,"AI-CTRL-005",'Control Library'!$R$5:$R$50,"Implemented")+COUNTIFS('Control Library'!$A$5:$A$50,"AI-CTRL-019",'Control Library'!$R$5:$R$50,"Implemented")+COUNTIFS('Control Library'!$A$5:$A$50,"AI-CTRL-022",'Control Library'!$R$5:$R$50,"Implemented")+COUNTIFS('Control Library'!$A$5:$A$50,"AI-CTRL-026",'Control Library'!$R$5:$R$50,"Implemented")</f>
        <v>0</v>
      </c>
      <c r="K337" s="43" t="str">
        <f aca="false">IF(I337=0,"No wiki control",IF(J337=I337,"Fully covered",IF(J337=0,"Not covered","Partly covered")))</f>
        <v>Not covered</v>
      </c>
      <c r="L337" s="9" t="s">
        <v>1502</v>
      </c>
    </row>
    <row r="338" customFormat="false" ht="35.05" hidden="false" customHeight="false" outlineLevel="0" collapsed="false">
      <c r="A338" s="49" t="s">
        <v>582</v>
      </c>
      <c r="B338" s="49" t="s">
        <v>577</v>
      </c>
      <c r="C338" s="5" t="s">
        <v>1523</v>
      </c>
      <c r="D338" s="6" t="s">
        <v>1524</v>
      </c>
      <c r="E338" s="6" t="s">
        <v>1525</v>
      </c>
      <c r="F338" s="6" t="s">
        <v>730</v>
      </c>
      <c r="G338" s="6" t="s">
        <v>1526</v>
      </c>
      <c r="H338" s="6"/>
      <c r="I338" s="26" t="n">
        <v>3</v>
      </c>
      <c r="J338" s="26" t="n">
        <f aca="false">COUNTIFS('Control Library'!$A$5:$A$50,"AI-CTRL-002",'Control Library'!$R$5:$R$50,"Implemented")+COUNTIFS('Control Library'!$A$5:$A$50,"AI-CTRL-005",'Control Library'!$R$5:$R$50,"Implemented")+COUNTIFS('Control Library'!$A$5:$A$50,"AI-CTRL-034",'Control Library'!$R$5:$R$50,"Implemented")</f>
        <v>0</v>
      </c>
      <c r="K338" s="43" t="str">
        <f aca="false">IF(I338=0,"No wiki control",IF(J338=I338,"Fully covered",IF(J338=0,"Not covered","Partly covered")))</f>
        <v>Not covered</v>
      </c>
      <c r="L338" s="9" t="s">
        <v>1502</v>
      </c>
    </row>
    <row r="339" customFormat="false" ht="23.85" hidden="false" customHeight="false" outlineLevel="0" collapsed="false">
      <c r="A339" s="49" t="s">
        <v>582</v>
      </c>
      <c r="B339" s="49" t="s">
        <v>577</v>
      </c>
      <c r="C339" s="5" t="s">
        <v>1527</v>
      </c>
      <c r="D339" s="6" t="s">
        <v>1528</v>
      </c>
      <c r="E339" s="6" t="s">
        <v>1529</v>
      </c>
      <c r="F339" s="6" t="s">
        <v>730</v>
      </c>
      <c r="G339" s="6" t="s">
        <v>776</v>
      </c>
      <c r="H339" s="6"/>
      <c r="I339" s="26" t="n">
        <v>3</v>
      </c>
      <c r="J339" s="26" t="n">
        <f aca="false">COUNTIFS('Control Library'!$A$5:$A$50,"AI-CTRL-029",'Control Library'!$R$5:$R$50,"Implemented")+COUNTIFS('Control Library'!$A$5:$A$50,"AI-CTRL-031",'Control Library'!$R$5:$R$50,"Implemented")+COUNTIFS('Control Library'!$A$5:$A$50,"AI-CTRL-034",'Control Library'!$R$5:$R$50,"Implemented")</f>
        <v>0</v>
      </c>
      <c r="K339" s="43" t="str">
        <f aca="false">IF(I339=0,"No wiki control",IF(J339=I339,"Fully covered",IF(J339=0,"Not covered","Partly covered")))</f>
        <v>Not covered</v>
      </c>
      <c r="L339" s="9" t="s">
        <v>1502</v>
      </c>
    </row>
    <row r="340" customFormat="false" ht="35.05" hidden="false" customHeight="false" outlineLevel="0" collapsed="false">
      <c r="A340" s="49" t="s">
        <v>582</v>
      </c>
      <c r="B340" s="49" t="s">
        <v>577</v>
      </c>
      <c r="C340" s="5" t="s">
        <v>1530</v>
      </c>
      <c r="D340" s="6" t="s">
        <v>1531</v>
      </c>
      <c r="E340" s="6" t="s">
        <v>1532</v>
      </c>
      <c r="F340" s="6" t="s">
        <v>730</v>
      </c>
      <c r="G340" s="6" t="s">
        <v>1533</v>
      </c>
      <c r="H340" s="6"/>
      <c r="I340" s="26" t="n">
        <v>3</v>
      </c>
      <c r="J340" s="26" t="n">
        <f aca="false">COUNTIFS('Control Library'!$A$5:$A$50,"AI-CTRL-005",'Control Library'!$R$5:$R$50,"Implemented")+COUNTIFS('Control Library'!$A$5:$A$50,"AI-CTRL-021",'Control Library'!$R$5:$R$50,"Implemented")+COUNTIFS('Control Library'!$A$5:$A$50,"AI-CTRL-034",'Control Library'!$R$5:$R$50,"Implemented")</f>
        <v>0</v>
      </c>
      <c r="K340" s="43" t="str">
        <f aca="false">IF(I340=0,"No wiki control",IF(J340=I340,"Fully covered",IF(J340=0,"Not covered","Partly covered")))</f>
        <v>Not covered</v>
      </c>
      <c r="L340" s="9" t="s">
        <v>1502</v>
      </c>
    </row>
    <row r="341" customFormat="false" ht="23.85" hidden="false" customHeight="false" outlineLevel="0" collapsed="false">
      <c r="A341" s="49" t="s">
        <v>582</v>
      </c>
      <c r="B341" s="49" t="s">
        <v>577</v>
      </c>
      <c r="C341" s="5" t="s">
        <v>1534</v>
      </c>
      <c r="D341" s="6" t="s">
        <v>1535</v>
      </c>
      <c r="E341" s="6" t="s">
        <v>1529</v>
      </c>
      <c r="F341" s="6" t="s">
        <v>730</v>
      </c>
      <c r="G341" s="6" t="s">
        <v>776</v>
      </c>
      <c r="H341" s="6"/>
      <c r="I341" s="26" t="n">
        <v>3</v>
      </c>
      <c r="J341" s="26" t="n">
        <f aca="false">COUNTIFS('Control Library'!$A$5:$A$50,"AI-CTRL-029",'Control Library'!$R$5:$R$50,"Implemented")+COUNTIFS('Control Library'!$A$5:$A$50,"AI-CTRL-031",'Control Library'!$R$5:$R$50,"Implemented")+COUNTIFS('Control Library'!$A$5:$A$50,"AI-CTRL-034",'Control Library'!$R$5:$R$50,"Implemented")</f>
        <v>0</v>
      </c>
      <c r="K341" s="43" t="str">
        <f aca="false">IF(I341=0,"No wiki control",IF(J341=I341,"Fully covered",IF(J341=0,"Not covered","Partly covered")))</f>
        <v>Not covered</v>
      </c>
      <c r="L341" s="9" t="s">
        <v>1502</v>
      </c>
    </row>
    <row r="342" customFormat="false" ht="23.85" hidden="false" customHeight="false" outlineLevel="0" collapsed="false">
      <c r="A342" s="49" t="s">
        <v>582</v>
      </c>
      <c r="B342" s="49" t="s">
        <v>577</v>
      </c>
      <c r="C342" s="5" t="s">
        <v>1536</v>
      </c>
      <c r="D342" s="6" t="s">
        <v>1537</v>
      </c>
      <c r="E342" s="6" t="s">
        <v>1516</v>
      </c>
      <c r="F342" s="6" t="s">
        <v>730</v>
      </c>
      <c r="G342" s="6" t="s">
        <v>1513</v>
      </c>
      <c r="H342" s="6"/>
      <c r="I342" s="26" t="n">
        <v>3</v>
      </c>
      <c r="J342" s="26" t="n">
        <f aca="false">COUNTIFS('Control Library'!$A$5:$A$50,"AI-CTRL-019",'Control Library'!$R$5:$R$50,"Implemented")+COUNTIFS('Control Library'!$A$5:$A$50,"AI-CTRL-029",'Control Library'!$R$5:$R$50,"Implemented")+COUNTIFS('Control Library'!$A$5:$A$50,"AI-CTRL-034",'Control Library'!$R$5:$R$50,"Implemented")</f>
        <v>0</v>
      </c>
      <c r="K342" s="43" t="str">
        <f aca="false">IF(I342=0,"No wiki control",IF(J342=I342,"Fully covered",IF(J342=0,"Not covered","Partly covered")))</f>
        <v>Not covered</v>
      </c>
      <c r="L342" s="9" t="s">
        <v>1502</v>
      </c>
    </row>
    <row r="343" customFormat="false" ht="35.05" hidden="false" customHeight="false" outlineLevel="0" collapsed="false">
      <c r="A343" s="49" t="s">
        <v>582</v>
      </c>
      <c r="B343" s="49" t="s">
        <v>577</v>
      </c>
      <c r="C343" s="5" t="s">
        <v>1538</v>
      </c>
      <c r="D343" s="6" t="s">
        <v>1539</v>
      </c>
      <c r="E343" s="6" t="s">
        <v>1540</v>
      </c>
      <c r="F343" s="6" t="s">
        <v>730</v>
      </c>
      <c r="G343" s="6" t="s">
        <v>1541</v>
      </c>
      <c r="H343" s="6"/>
      <c r="I343" s="26" t="n">
        <v>3</v>
      </c>
      <c r="J343" s="26" t="n">
        <f aca="false">COUNTIFS('Control Library'!$A$5:$A$50,"AI-CTRL-005",'Control Library'!$R$5:$R$50,"Implemented")+COUNTIFS('Control Library'!$A$5:$A$50,"AI-CTRL-034",'Control Library'!$R$5:$R$50,"Implemented")+COUNTIFS('Control Library'!$A$5:$A$50,"AI-CTRL-036",'Control Library'!$R$5:$R$50,"Implemented")</f>
        <v>0</v>
      </c>
      <c r="K343" s="43" t="str">
        <f aca="false">IF(I343=0,"No wiki control",IF(J343=I343,"Fully covered",IF(J343=0,"Not covered","Partly covered")))</f>
        <v>Not covered</v>
      </c>
      <c r="L343" s="9" t="s">
        <v>1502</v>
      </c>
    </row>
    <row r="344" customFormat="false" ht="23.85" hidden="false" customHeight="false" outlineLevel="0" collapsed="false">
      <c r="A344" s="49" t="s">
        <v>582</v>
      </c>
      <c r="B344" s="49" t="s">
        <v>577</v>
      </c>
      <c r="C344" s="5" t="s">
        <v>1542</v>
      </c>
      <c r="D344" s="6" t="s">
        <v>1508</v>
      </c>
      <c r="E344" s="6" t="s">
        <v>1509</v>
      </c>
      <c r="F344" s="6" t="s">
        <v>730</v>
      </c>
      <c r="G344" s="6" t="s">
        <v>424</v>
      </c>
      <c r="H344" s="6"/>
      <c r="I344" s="26" t="n">
        <v>3</v>
      </c>
      <c r="J344" s="26" t="n">
        <f aca="false">COUNTIFS('Control Library'!$A$5:$A$50,"AI-CTRL-028",'Control Library'!$R$5:$R$50,"Implemented")+COUNTIFS('Control Library'!$A$5:$A$50,"AI-CTRL-030",'Control Library'!$R$5:$R$50,"Implemented")+COUNTIFS('Control Library'!$A$5:$A$50,"AI-CTRL-031",'Control Library'!$R$5:$R$50,"Implemented")</f>
        <v>0</v>
      </c>
      <c r="K344" s="43" t="str">
        <f aca="false">IF(I344=0,"No wiki control",IF(J344=I344,"Fully covered",IF(J344=0,"Not covered","Partly covered")))</f>
        <v>Not covered</v>
      </c>
      <c r="L344" s="9" t="s">
        <v>1502</v>
      </c>
    </row>
    <row r="345" customFormat="false" ht="35.05" hidden="false" customHeight="false" outlineLevel="0" collapsed="false">
      <c r="A345" s="49" t="s">
        <v>582</v>
      </c>
      <c r="B345" s="49" t="s">
        <v>577</v>
      </c>
      <c r="C345" s="5" t="s">
        <v>1543</v>
      </c>
      <c r="D345" s="6" t="s">
        <v>1544</v>
      </c>
      <c r="E345" s="6" t="s">
        <v>1545</v>
      </c>
      <c r="F345" s="6" t="s">
        <v>730</v>
      </c>
      <c r="G345" s="6" t="s">
        <v>740</v>
      </c>
      <c r="H345" s="6"/>
      <c r="I345" s="26" t="n">
        <v>3</v>
      </c>
      <c r="J345" s="26" t="n">
        <f aca="false">COUNTIFS('Control Library'!$A$5:$A$50,"AI-CTRL-034",'Control Library'!$R$5:$R$50,"Implemented")+COUNTIFS('Control Library'!$A$5:$A$50,"AI-CTRL-039",'Control Library'!$R$5:$R$50,"Implemented")+COUNTIFS('Control Library'!$A$5:$A$50,"AI-CTRL-045",'Control Library'!$R$5:$R$50,"Implemented")</f>
        <v>0</v>
      </c>
      <c r="K345" s="43" t="str">
        <f aca="false">IF(I345=0,"No wiki control",IF(J345=I345,"Fully covered",IF(J345=0,"Not covered","Partly covered")))</f>
        <v>Not covered</v>
      </c>
      <c r="L345" s="9" t="s">
        <v>1502</v>
      </c>
    </row>
    <row r="346" customFormat="false" ht="23.85" hidden="false" customHeight="false" outlineLevel="0" collapsed="false">
      <c r="A346" s="49" t="s">
        <v>582</v>
      </c>
      <c r="B346" s="49" t="s">
        <v>577</v>
      </c>
      <c r="C346" s="5" t="s">
        <v>1546</v>
      </c>
      <c r="D346" s="6" t="s">
        <v>1547</v>
      </c>
      <c r="E346" s="6" t="s">
        <v>1421</v>
      </c>
      <c r="F346" s="6" t="s">
        <v>730</v>
      </c>
      <c r="G346" s="6" t="s">
        <v>1422</v>
      </c>
      <c r="H346" s="6"/>
      <c r="I346" s="26" t="n">
        <v>2</v>
      </c>
      <c r="J346" s="26" t="n">
        <f aca="false">COUNTIFS('Control Library'!$A$5:$A$50,"AI-CTRL-028",'Control Library'!$R$5:$R$50,"Implemented")+COUNTIFS('Control Library'!$A$5:$A$50,"AI-CTRL-036",'Control Library'!$R$5:$R$50,"Implemented")</f>
        <v>0</v>
      </c>
      <c r="K346" s="43" t="str">
        <f aca="false">IF(I346=0,"No wiki control",IF(J346=I346,"Fully covered",IF(J346=0,"Not covered","Partly covered")))</f>
        <v>Not covered</v>
      </c>
      <c r="L346" s="9" t="s">
        <v>1502</v>
      </c>
    </row>
    <row r="347" customFormat="false" ht="35.05" hidden="false" customHeight="false" outlineLevel="0" collapsed="false">
      <c r="A347" s="49" t="s">
        <v>582</v>
      </c>
      <c r="B347" s="49" t="s">
        <v>577</v>
      </c>
      <c r="C347" s="5" t="s">
        <v>1548</v>
      </c>
      <c r="D347" s="6" t="s">
        <v>1549</v>
      </c>
      <c r="E347" s="6" t="s">
        <v>1550</v>
      </c>
      <c r="F347" s="6" t="s">
        <v>730</v>
      </c>
      <c r="G347" s="6" t="s">
        <v>1551</v>
      </c>
      <c r="H347" s="6"/>
      <c r="I347" s="26" t="n">
        <v>3</v>
      </c>
      <c r="J347" s="26" t="n">
        <f aca="false">COUNTIFS('Control Library'!$A$5:$A$50,"AI-CTRL-017",'Control Library'!$R$5:$R$50,"Implemented")+COUNTIFS('Control Library'!$A$5:$A$50,"AI-CTRL-028",'Control Library'!$R$5:$R$50,"Implemented")+COUNTIFS('Control Library'!$A$5:$A$50,"AI-CTRL-034",'Control Library'!$R$5:$R$50,"Implemented")</f>
        <v>0</v>
      </c>
      <c r="K347" s="43" t="str">
        <f aca="false">IF(I347=0,"No wiki control",IF(J347=I347,"Fully covered",IF(J347=0,"Not covered","Partly covered")))</f>
        <v>Not covered</v>
      </c>
      <c r="L347" s="9" t="s">
        <v>1502</v>
      </c>
    </row>
    <row r="348" customFormat="false" ht="35.05" hidden="false" customHeight="false" outlineLevel="0" collapsed="false">
      <c r="A348" s="49" t="s">
        <v>582</v>
      </c>
      <c r="B348" s="49" t="s">
        <v>577</v>
      </c>
      <c r="C348" s="5" t="s">
        <v>1552</v>
      </c>
      <c r="D348" s="6" t="s">
        <v>1553</v>
      </c>
      <c r="E348" s="6" t="s">
        <v>1550</v>
      </c>
      <c r="F348" s="6" t="s">
        <v>730</v>
      </c>
      <c r="G348" s="6" t="s">
        <v>1551</v>
      </c>
      <c r="H348" s="6"/>
      <c r="I348" s="26" t="n">
        <v>3</v>
      </c>
      <c r="J348" s="26" t="n">
        <f aca="false">COUNTIFS('Control Library'!$A$5:$A$50,"AI-CTRL-017",'Control Library'!$R$5:$R$50,"Implemented")+COUNTIFS('Control Library'!$A$5:$A$50,"AI-CTRL-028",'Control Library'!$R$5:$R$50,"Implemented")+COUNTIFS('Control Library'!$A$5:$A$50,"AI-CTRL-034",'Control Library'!$R$5:$R$50,"Implemented")</f>
        <v>0</v>
      </c>
      <c r="K348" s="43" t="str">
        <f aca="false">IF(I348=0,"No wiki control",IF(J348=I348,"Fully covered",IF(J348=0,"Not covered","Partly covered")))</f>
        <v>Not covered</v>
      </c>
      <c r="L348" s="9" t="s">
        <v>1502</v>
      </c>
    </row>
    <row r="349" customFormat="false" ht="23.85" hidden="false" customHeight="false" outlineLevel="0" collapsed="false">
      <c r="A349" s="49" t="s">
        <v>582</v>
      </c>
      <c r="B349" s="49" t="s">
        <v>577</v>
      </c>
      <c r="C349" s="5" t="s">
        <v>1554</v>
      </c>
      <c r="D349" s="6" t="s">
        <v>1555</v>
      </c>
      <c r="E349" s="6" t="s">
        <v>1556</v>
      </c>
      <c r="F349" s="6" t="s">
        <v>730</v>
      </c>
      <c r="G349" s="6" t="s">
        <v>1557</v>
      </c>
      <c r="H349" s="6"/>
      <c r="I349" s="26" t="n">
        <v>2</v>
      </c>
      <c r="J349" s="26" t="n">
        <f aca="false">COUNTIFS('Control Library'!$A$5:$A$50,"AI-CTRL-017",'Control Library'!$R$5:$R$50,"Implemented")+COUNTIFS('Control Library'!$A$5:$A$50,"AI-CTRL-028",'Control Library'!$R$5:$R$50,"Implemented")</f>
        <v>0</v>
      </c>
      <c r="K349" s="43" t="str">
        <f aca="false">IF(I349=0,"No wiki control",IF(J349=I349,"Fully covered",IF(J349=0,"Not covered","Partly covered")))</f>
        <v>Not covered</v>
      </c>
      <c r="L349" s="9" t="s">
        <v>1502</v>
      </c>
    </row>
    <row r="350" customFormat="false" ht="23.85" hidden="false" customHeight="false" outlineLevel="0" collapsed="false">
      <c r="A350" s="49" t="s">
        <v>582</v>
      </c>
      <c r="B350" s="49" t="s">
        <v>577</v>
      </c>
      <c r="C350" s="5" t="s">
        <v>1558</v>
      </c>
      <c r="D350" s="6" t="s">
        <v>1559</v>
      </c>
      <c r="E350" s="6" t="s">
        <v>756</v>
      </c>
      <c r="F350" s="6" t="s">
        <v>730</v>
      </c>
      <c r="G350" s="6" t="s">
        <v>335</v>
      </c>
      <c r="H350" s="6"/>
      <c r="I350" s="26" t="n">
        <v>2</v>
      </c>
      <c r="J350" s="26" t="n">
        <f aca="false">COUNTIFS('Control Library'!$A$5:$A$50,"AI-CTRL-005",'Control Library'!$R$5:$R$50,"Implemented")+COUNTIFS('Control Library'!$A$5:$A$50,"AI-CTRL-020",'Control Library'!$R$5:$R$50,"Implemented")</f>
        <v>0</v>
      </c>
      <c r="K350" s="43" t="str">
        <f aca="false">IF(I350=0,"No wiki control",IF(J350=I350,"Fully covered",IF(J350=0,"Not covered","Partly covered")))</f>
        <v>Not covered</v>
      </c>
      <c r="L350" s="9" t="s">
        <v>1502</v>
      </c>
    </row>
    <row r="351" customFormat="false" ht="23.85" hidden="false" customHeight="false" outlineLevel="0" collapsed="false">
      <c r="A351" s="49" t="s">
        <v>582</v>
      </c>
      <c r="B351" s="49" t="s">
        <v>577</v>
      </c>
      <c r="C351" s="5" t="s">
        <v>1560</v>
      </c>
      <c r="D351" s="6" t="s">
        <v>1561</v>
      </c>
      <c r="E351" s="6" t="s">
        <v>1562</v>
      </c>
      <c r="F351" s="6" t="s">
        <v>730</v>
      </c>
      <c r="G351" s="6" t="s">
        <v>1563</v>
      </c>
      <c r="H351" s="6"/>
      <c r="I351" s="26" t="n">
        <v>3</v>
      </c>
      <c r="J351" s="26" t="n">
        <f aca="false">COUNTIFS('Control Library'!$A$5:$A$50,"AI-CTRL-017",'Control Library'!$R$5:$R$50,"Implemented")+COUNTIFS('Control Library'!$A$5:$A$50,"AI-CTRL-018",'Control Library'!$R$5:$R$50,"Implemented")+COUNTIFS('Control Library'!$A$5:$A$50,"AI-CTRL-020",'Control Library'!$R$5:$R$50,"Implemented")</f>
        <v>0</v>
      </c>
      <c r="K351" s="43" t="str">
        <f aca="false">IF(I351=0,"No wiki control",IF(J351=I351,"Fully covered",IF(J351=0,"Not covered","Partly covered")))</f>
        <v>Not covered</v>
      </c>
      <c r="L351" s="9" t="s">
        <v>1502</v>
      </c>
    </row>
    <row r="352" customFormat="false" ht="23.85" hidden="false" customHeight="false" outlineLevel="0" collapsed="false">
      <c r="A352" s="49" t="s">
        <v>582</v>
      </c>
      <c r="B352" s="49" t="s">
        <v>577</v>
      </c>
      <c r="C352" s="5" t="s">
        <v>1564</v>
      </c>
      <c r="D352" s="6" t="s">
        <v>1565</v>
      </c>
      <c r="E352" s="6" t="s">
        <v>1566</v>
      </c>
      <c r="F352" s="6" t="s">
        <v>730</v>
      </c>
      <c r="G352" s="6" t="s">
        <v>1557</v>
      </c>
      <c r="H352" s="6"/>
      <c r="I352" s="26" t="n">
        <v>3</v>
      </c>
      <c r="J352" s="26" t="n">
        <f aca="false">COUNTIFS('Control Library'!$A$5:$A$50,"AI-CTRL-017",'Control Library'!$R$5:$R$50,"Implemented")+COUNTIFS('Control Library'!$A$5:$A$50,"AI-CTRL-028",'Control Library'!$R$5:$R$50,"Implemented")+COUNTIFS('Control Library'!$A$5:$A$50,"AI-CTRL-029",'Control Library'!$R$5:$R$50,"Implemented")</f>
        <v>0</v>
      </c>
      <c r="K352" s="43" t="str">
        <f aca="false">IF(I352=0,"No wiki control",IF(J352=I352,"Fully covered",IF(J352=0,"Not covered","Partly covered")))</f>
        <v>Not covered</v>
      </c>
      <c r="L352" s="9" t="s">
        <v>1502</v>
      </c>
    </row>
    <row r="353" customFormat="false" ht="35.05" hidden="false" customHeight="false" outlineLevel="0" collapsed="false">
      <c r="A353" s="49" t="s">
        <v>582</v>
      </c>
      <c r="B353" s="49" t="s">
        <v>577</v>
      </c>
      <c r="C353" s="5" t="s">
        <v>1567</v>
      </c>
      <c r="D353" s="6" t="s">
        <v>1568</v>
      </c>
      <c r="E353" s="6" t="s">
        <v>1569</v>
      </c>
      <c r="F353" s="6" t="s">
        <v>730</v>
      </c>
      <c r="G353" s="6" t="s">
        <v>1570</v>
      </c>
      <c r="H353" s="6"/>
      <c r="I353" s="26" t="n">
        <v>3</v>
      </c>
      <c r="J353" s="26" t="n">
        <f aca="false">COUNTIFS('Control Library'!$A$5:$A$50,"AI-CTRL-017",'Control Library'!$R$5:$R$50,"Implemented")+COUNTIFS('Control Library'!$A$5:$A$50,"AI-CTRL-020",'Control Library'!$R$5:$R$50,"Implemented")+COUNTIFS('Control Library'!$A$5:$A$50,"AI-CTRL-028",'Control Library'!$R$5:$R$50,"Implemented")</f>
        <v>0</v>
      </c>
      <c r="K353" s="43" t="str">
        <f aca="false">IF(I353=0,"No wiki control",IF(J353=I353,"Fully covered",IF(J353=0,"Not covered","Partly covered")))</f>
        <v>Not covered</v>
      </c>
      <c r="L353" s="9" t="s">
        <v>1502</v>
      </c>
    </row>
    <row r="354" customFormat="false" ht="35.05" hidden="false" customHeight="false" outlineLevel="0" collapsed="false">
      <c r="A354" s="49" t="s">
        <v>582</v>
      </c>
      <c r="B354" s="49" t="s">
        <v>577</v>
      </c>
      <c r="C354" s="5" t="s">
        <v>1571</v>
      </c>
      <c r="D354" s="6" t="s">
        <v>1572</v>
      </c>
      <c r="E354" s="6" t="s">
        <v>1573</v>
      </c>
      <c r="F354" s="6" t="s">
        <v>730</v>
      </c>
      <c r="G354" s="6" t="s">
        <v>1574</v>
      </c>
      <c r="H354" s="6"/>
      <c r="I354" s="26" t="n">
        <v>4</v>
      </c>
      <c r="J354" s="26" t="n">
        <f aca="false">COUNTIFS('Control Library'!$A$5:$A$50,"AI-CTRL-016",'Control Library'!$R$5:$R$50,"Implemented")+COUNTIFS('Control Library'!$A$5:$A$50,"AI-CTRL-022",'Control Library'!$R$5:$R$50,"Implemented")+COUNTIFS('Control Library'!$A$5:$A$50,"AI-CTRL-024",'Control Library'!$R$5:$R$50,"Implemented")+COUNTIFS('Control Library'!$A$5:$A$50,"AI-CTRL-027",'Control Library'!$R$5:$R$50,"Implemented")</f>
        <v>0</v>
      </c>
      <c r="K354" s="43" t="str">
        <f aca="false">IF(I354=0,"No wiki control",IF(J354=I354,"Fully covered",IF(J354=0,"Not covered","Partly covered")))</f>
        <v>Not covered</v>
      </c>
      <c r="L354" s="9" t="s">
        <v>1502</v>
      </c>
    </row>
    <row r="355" customFormat="false" ht="23.85" hidden="false" customHeight="false" outlineLevel="0" collapsed="false">
      <c r="A355" s="49" t="s">
        <v>582</v>
      </c>
      <c r="B355" s="49" t="s">
        <v>577</v>
      </c>
      <c r="C355" s="5" t="s">
        <v>1575</v>
      </c>
      <c r="D355" s="6" t="s">
        <v>1576</v>
      </c>
      <c r="E355" s="6" t="s">
        <v>1509</v>
      </c>
      <c r="F355" s="6" t="s">
        <v>730</v>
      </c>
      <c r="G355" s="6" t="s">
        <v>424</v>
      </c>
      <c r="H355" s="6"/>
      <c r="I355" s="26" t="n">
        <v>3</v>
      </c>
      <c r="J355" s="26" t="n">
        <f aca="false">COUNTIFS('Control Library'!$A$5:$A$50,"AI-CTRL-028",'Control Library'!$R$5:$R$50,"Implemented")+COUNTIFS('Control Library'!$A$5:$A$50,"AI-CTRL-030",'Control Library'!$R$5:$R$50,"Implemented")+COUNTIFS('Control Library'!$A$5:$A$50,"AI-CTRL-031",'Control Library'!$R$5:$R$50,"Implemented")</f>
        <v>0</v>
      </c>
      <c r="K355" s="43" t="str">
        <f aca="false">IF(I355=0,"No wiki control",IF(J355=I355,"Fully covered",IF(J355=0,"Not covered","Partly covered")))</f>
        <v>Not covered</v>
      </c>
      <c r="L355" s="9" t="s">
        <v>1502</v>
      </c>
    </row>
    <row r="356" customFormat="false" ht="23.85" hidden="false" customHeight="false" outlineLevel="0" collapsed="false">
      <c r="A356" s="51" t="s">
        <v>583</v>
      </c>
      <c r="B356" s="51" t="s">
        <v>584</v>
      </c>
      <c r="C356" s="5" t="s">
        <v>1577</v>
      </c>
      <c r="D356" s="6" t="s">
        <v>1578</v>
      </c>
      <c r="E356" s="6" t="s">
        <v>1011</v>
      </c>
      <c r="F356" s="6" t="s">
        <v>730</v>
      </c>
      <c r="G356" s="6" t="s">
        <v>1012</v>
      </c>
      <c r="H356" s="6"/>
      <c r="I356" s="26" t="n">
        <v>2</v>
      </c>
      <c r="J356" s="26" t="n">
        <f aca="false">COUNTIFS('Control Library'!$A$5:$A$50,"AI-CTRL-010",'Control Library'!$R$5:$R$50,"Implemented")+COUNTIFS('Control Library'!$A$5:$A$50,"AI-CTRL-012",'Control Library'!$R$5:$R$50,"Implemented")</f>
        <v>0</v>
      </c>
      <c r="K356" s="43" t="str">
        <f aca="false">IF(I356=0,"No wiki control",IF(J356=I356,"Fully covered",IF(J356=0,"Not covered","Partly covered")))</f>
        <v>Not covered</v>
      </c>
      <c r="L356" s="9" t="s">
        <v>1579</v>
      </c>
    </row>
    <row r="357" customFormat="false" ht="23.85" hidden="false" customHeight="false" outlineLevel="0" collapsed="false">
      <c r="A357" s="51" t="s">
        <v>583</v>
      </c>
      <c r="B357" s="51" t="s">
        <v>584</v>
      </c>
      <c r="C357" s="5" t="s">
        <v>1580</v>
      </c>
      <c r="D357" s="6" t="s">
        <v>1581</v>
      </c>
      <c r="E357" s="6" t="s">
        <v>263</v>
      </c>
      <c r="F357" s="6" t="s">
        <v>730</v>
      </c>
      <c r="G357" s="6" t="s">
        <v>266</v>
      </c>
      <c r="H357" s="6"/>
      <c r="I357" s="26" t="n">
        <v>1</v>
      </c>
      <c r="J357" s="26" t="n">
        <f aca="false">COUNTIFS('Control Library'!$A$5:$A$50,"AI-CTRL-012",'Control Library'!$R$5:$R$50,"Implemented")</f>
        <v>0</v>
      </c>
      <c r="K357" s="43" t="str">
        <f aca="false">IF(I357=0,"No wiki control",IF(J357=I357,"Fully covered",IF(J357=0,"Not covered","Partly covered")))</f>
        <v>Not covered</v>
      </c>
      <c r="L357" s="9" t="s">
        <v>1579</v>
      </c>
    </row>
    <row r="358" customFormat="false" ht="23.85" hidden="false" customHeight="false" outlineLevel="0" collapsed="false">
      <c r="A358" s="51" t="s">
        <v>583</v>
      </c>
      <c r="B358" s="51" t="s">
        <v>584</v>
      </c>
      <c r="C358" s="5" t="s">
        <v>1582</v>
      </c>
      <c r="D358" s="6" t="s">
        <v>1583</v>
      </c>
      <c r="E358" s="6" t="s">
        <v>263</v>
      </c>
      <c r="F358" s="6" t="s">
        <v>730</v>
      </c>
      <c r="G358" s="6" t="s">
        <v>266</v>
      </c>
      <c r="H358" s="6"/>
      <c r="I358" s="26" t="n">
        <v>1</v>
      </c>
      <c r="J358" s="26" t="n">
        <f aca="false">COUNTIFS('Control Library'!$A$5:$A$50,"AI-CTRL-012",'Control Library'!$R$5:$R$50,"Implemented")</f>
        <v>0</v>
      </c>
      <c r="K358" s="43" t="str">
        <f aca="false">IF(I358=0,"No wiki control",IF(J358=I358,"Fully covered",IF(J358=0,"Not covered","Partly covered")))</f>
        <v>Not covered</v>
      </c>
      <c r="L358" s="9" t="s">
        <v>1579</v>
      </c>
    </row>
    <row r="359" customFormat="false" ht="23.85" hidden="false" customHeight="false" outlineLevel="0" collapsed="false">
      <c r="A359" s="51" t="s">
        <v>583</v>
      </c>
      <c r="B359" s="51" t="s">
        <v>584</v>
      </c>
      <c r="C359" s="5" t="s">
        <v>1584</v>
      </c>
      <c r="D359" s="6" t="s">
        <v>1585</v>
      </c>
      <c r="E359" s="6" t="s">
        <v>263</v>
      </c>
      <c r="F359" s="6" t="s">
        <v>730</v>
      </c>
      <c r="G359" s="6" t="s">
        <v>266</v>
      </c>
      <c r="H359" s="6"/>
      <c r="I359" s="26" t="n">
        <v>1</v>
      </c>
      <c r="J359" s="26" t="n">
        <f aca="false">COUNTIFS('Control Library'!$A$5:$A$50,"AI-CTRL-012",'Control Library'!$R$5:$R$50,"Implemented")</f>
        <v>0</v>
      </c>
      <c r="K359" s="43" t="str">
        <f aca="false">IF(I359=0,"No wiki control",IF(J359=I359,"Fully covered",IF(J359=0,"Not covered","Partly covered")))</f>
        <v>Not covered</v>
      </c>
      <c r="L359" s="9" t="s">
        <v>1579</v>
      </c>
    </row>
    <row r="360" customFormat="false" ht="23.85" hidden="false" customHeight="false" outlineLevel="0" collapsed="false">
      <c r="A360" s="51" t="s">
        <v>583</v>
      </c>
      <c r="B360" s="51" t="s">
        <v>584</v>
      </c>
      <c r="C360" s="5" t="s">
        <v>1586</v>
      </c>
      <c r="D360" s="6" t="s">
        <v>1587</v>
      </c>
      <c r="E360" s="6" t="s">
        <v>453</v>
      </c>
      <c r="F360" s="6" t="s">
        <v>730</v>
      </c>
      <c r="G360" s="6" t="s">
        <v>456</v>
      </c>
      <c r="H360" s="6"/>
      <c r="I360" s="26" t="n">
        <v>1</v>
      </c>
      <c r="J360" s="26" t="n">
        <f aca="false">COUNTIFS('Control Library'!$A$5:$A$50,"AI-CTRL-035",'Control Library'!$R$5:$R$50,"Implemented")</f>
        <v>0</v>
      </c>
      <c r="K360" s="43" t="str">
        <f aca="false">IF(I360=0,"No wiki control",IF(J360=I360,"Fully covered",IF(J360=0,"Not covered","Partly covered")))</f>
        <v>Not covered</v>
      </c>
      <c r="L360" s="9" t="s">
        <v>1579</v>
      </c>
    </row>
    <row r="361" customFormat="false" ht="23.85" hidden="false" customHeight="false" outlineLevel="0" collapsed="false">
      <c r="A361" s="51" t="s">
        <v>583</v>
      </c>
      <c r="B361" s="51" t="s">
        <v>584</v>
      </c>
      <c r="C361" s="5" t="s">
        <v>1588</v>
      </c>
      <c r="D361" s="6" t="s">
        <v>1589</v>
      </c>
      <c r="E361" s="6" t="s">
        <v>1590</v>
      </c>
      <c r="F361" s="6" t="s">
        <v>730</v>
      </c>
      <c r="G361" s="6" t="s">
        <v>1591</v>
      </c>
      <c r="H361" s="6"/>
      <c r="I361" s="26" t="n">
        <v>4</v>
      </c>
      <c r="J361" s="26" t="n">
        <f aca="false">COUNTIFS('Control Library'!$A$5:$A$50,"AI-CTRL-001",'Control Library'!$R$5:$R$50,"Implemented")+COUNTIFS('Control Library'!$A$5:$A$50,"AI-CTRL-006",'Control Library'!$R$5:$R$50,"Implemented")+COUNTIFS('Control Library'!$A$5:$A$50,"AI-CTRL-011",'Control Library'!$R$5:$R$50,"Implemented")+COUNTIFS('Control Library'!$A$5:$A$50,"AI-CTRL-031",'Control Library'!$R$5:$R$50,"Implemented")</f>
        <v>0</v>
      </c>
      <c r="K361" s="43" t="str">
        <f aca="false">IF(I361=0,"No wiki control",IF(J361=I361,"Fully covered",IF(J361=0,"Not covered","Partly covered")))</f>
        <v>Not covered</v>
      </c>
      <c r="L361" s="9" t="s">
        <v>1579</v>
      </c>
    </row>
    <row r="362" customFormat="false" ht="23.85" hidden="false" customHeight="false" outlineLevel="0" collapsed="false">
      <c r="A362" s="51" t="s">
        <v>583</v>
      </c>
      <c r="B362" s="51" t="s">
        <v>584</v>
      </c>
      <c r="C362" s="5" t="s">
        <v>1592</v>
      </c>
      <c r="D362" s="6" t="s">
        <v>1593</v>
      </c>
      <c r="E362" s="6" t="s">
        <v>307</v>
      </c>
      <c r="F362" s="6" t="s">
        <v>730</v>
      </c>
      <c r="G362" s="6" t="s">
        <v>310</v>
      </c>
      <c r="H362" s="6"/>
      <c r="I362" s="26" t="n">
        <v>1</v>
      </c>
      <c r="J362" s="26" t="n">
        <f aca="false">COUNTIFS('Control Library'!$A$5:$A$50,"AI-CTRL-017",'Control Library'!$R$5:$R$50,"Implemented")</f>
        <v>0</v>
      </c>
      <c r="K362" s="43" t="str">
        <f aca="false">IF(I362=0,"No wiki control",IF(J362=I362,"Fully covered",IF(J362=0,"Not covered","Partly covered")))</f>
        <v>Not covered</v>
      </c>
      <c r="L362" s="9" t="s">
        <v>1579</v>
      </c>
    </row>
    <row r="363" customFormat="false" ht="23.85" hidden="false" customHeight="false" outlineLevel="0" collapsed="false">
      <c r="A363" s="51" t="s">
        <v>583</v>
      </c>
      <c r="B363" s="51" t="s">
        <v>584</v>
      </c>
      <c r="C363" s="5" t="s">
        <v>1594</v>
      </c>
      <c r="D363" s="6" t="s">
        <v>1595</v>
      </c>
      <c r="E363" s="6" t="s">
        <v>1596</v>
      </c>
      <c r="F363" s="6" t="s">
        <v>730</v>
      </c>
      <c r="G363" s="6" t="s">
        <v>1597</v>
      </c>
      <c r="H363" s="6"/>
      <c r="I363" s="26" t="n">
        <v>2</v>
      </c>
      <c r="J363" s="26" t="n">
        <f aca="false">COUNTIFS('Control Library'!$A$5:$A$50,"AI-CTRL-004",'Control Library'!$R$5:$R$50,"Implemented")+COUNTIFS('Control Library'!$A$5:$A$50,"AI-CTRL-024",'Control Library'!$R$5:$R$50,"Implemented")</f>
        <v>0</v>
      </c>
      <c r="K363" s="43" t="str">
        <f aca="false">IF(I363=0,"No wiki control",IF(J363=I363,"Fully covered",IF(J363=0,"Not covered","Partly covered")))</f>
        <v>Not covered</v>
      </c>
      <c r="L363" s="9" t="s">
        <v>1579</v>
      </c>
    </row>
    <row r="364" customFormat="false" ht="35.05" hidden="false" customHeight="false" outlineLevel="0" collapsed="false">
      <c r="A364" s="51" t="s">
        <v>583</v>
      </c>
      <c r="B364" s="51" t="s">
        <v>584</v>
      </c>
      <c r="C364" s="5" t="s">
        <v>1598</v>
      </c>
      <c r="D364" s="6" t="s">
        <v>1599</v>
      </c>
      <c r="E364" s="6" t="s">
        <v>1600</v>
      </c>
      <c r="F364" s="6" t="s">
        <v>730</v>
      </c>
      <c r="G364" s="6" t="s">
        <v>1601</v>
      </c>
      <c r="H364" s="6"/>
      <c r="I364" s="26" t="n">
        <v>5</v>
      </c>
      <c r="J364" s="26" t="n">
        <f aca="false">COUNTIFS('Control Library'!$A$5:$A$50,"AI-CTRL-007",'Control Library'!$R$5:$R$50,"Implemented")+COUNTIFS('Control Library'!$A$5:$A$50,"AI-CTRL-027",'Control Library'!$R$5:$R$50,"Implemented")+COUNTIFS('Control Library'!$A$5:$A$50,"AI-CTRL-032",'Control Library'!$R$5:$R$50,"Implemented")+COUNTIFS('Control Library'!$A$5:$A$50,"AI-CTRL-036",'Control Library'!$R$5:$R$50,"Implemented")+COUNTIFS('Control Library'!$A$5:$A$50,"AI-CTRL-040",'Control Library'!$R$5:$R$50,"Implemented")</f>
        <v>0</v>
      </c>
      <c r="K364" s="43" t="str">
        <f aca="false">IF(I364=0,"No wiki control",IF(J364=I364,"Fully covered",IF(J364=0,"Not covered","Partly covered")))</f>
        <v>Not covered</v>
      </c>
      <c r="L364" s="9" t="s">
        <v>1579</v>
      </c>
    </row>
    <row r="365" customFormat="false" ht="23.85" hidden="false" customHeight="false" outlineLevel="0" collapsed="false">
      <c r="A365" s="51" t="s">
        <v>583</v>
      </c>
      <c r="B365" s="51" t="s">
        <v>584</v>
      </c>
      <c r="C365" s="5" t="s">
        <v>1602</v>
      </c>
      <c r="D365" s="6" t="s">
        <v>1603</v>
      </c>
      <c r="E365" s="6" t="s">
        <v>530</v>
      </c>
      <c r="F365" s="6" t="s">
        <v>730</v>
      </c>
      <c r="G365" s="6" t="s">
        <v>533</v>
      </c>
      <c r="H365" s="6"/>
      <c r="I365" s="26" t="n">
        <v>1</v>
      </c>
      <c r="J365" s="26" t="n">
        <f aca="false">COUNTIFS('Control Library'!$A$5:$A$50,"AI-CTRL-044",'Control Library'!$R$5:$R$50,"Implemented")</f>
        <v>0</v>
      </c>
      <c r="K365" s="43" t="str">
        <f aca="false">IF(I365=0,"No wiki control",IF(J365=I365,"Fully covered",IF(J365=0,"Not covered","Partly covered")))</f>
        <v>Not covered</v>
      </c>
      <c r="L365" s="9" t="s">
        <v>1579</v>
      </c>
    </row>
    <row r="366" customFormat="false" ht="46.25" hidden="false" customHeight="false" outlineLevel="0" collapsed="false">
      <c r="A366" s="51" t="s">
        <v>583</v>
      </c>
      <c r="B366" s="51" t="s">
        <v>584</v>
      </c>
      <c r="C366" s="5" t="s">
        <v>1604</v>
      </c>
      <c r="D366" s="6" t="s">
        <v>1605</v>
      </c>
      <c r="E366" s="6" t="s">
        <v>1606</v>
      </c>
      <c r="F366" s="6" t="s">
        <v>730</v>
      </c>
      <c r="G366" s="6" t="s">
        <v>1607</v>
      </c>
      <c r="H366" s="6"/>
      <c r="I366" s="26" t="n">
        <v>4</v>
      </c>
      <c r="J366" s="26" t="n">
        <f aca="false">COUNTIFS('Control Library'!$A$5:$A$50,"AI-CTRL-011",'Control Library'!$R$5:$R$50,"Implemented")+COUNTIFS('Control Library'!$A$5:$A$50,"AI-CTRL-013",'Control Library'!$R$5:$R$50,"Implemented")+COUNTIFS('Control Library'!$A$5:$A$50,"AI-CTRL-033",'Control Library'!$R$5:$R$50,"Implemented")+COUNTIFS('Control Library'!$A$5:$A$50,"AI-CTRL-042",'Control Library'!$R$5:$R$50,"Implemented")</f>
        <v>0</v>
      </c>
      <c r="K366" s="43" t="str">
        <f aca="false">IF(I366=0,"No wiki control",IF(J366=I366,"Fully covered",IF(J366=0,"Not covered","Partly covered")))</f>
        <v>Not covered</v>
      </c>
      <c r="L366" s="9" t="s">
        <v>1579</v>
      </c>
    </row>
    <row r="367" customFormat="false" ht="23.85" hidden="false" customHeight="false" outlineLevel="0" collapsed="false">
      <c r="A367" s="51" t="s">
        <v>583</v>
      </c>
      <c r="B367" s="51" t="s">
        <v>584</v>
      </c>
      <c r="C367" s="5" t="s">
        <v>1608</v>
      </c>
      <c r="D367" s="6" t="s">
        <v>1609</v>
      </c>
      <c r="E367" s="6" t="s">
        <v>1610</v>
      </c>
      <c r="F367" s="6" t="s">
        <v>730</v>
      </c>
      <c r="G367" s="6" t="s">
        <v>1611</v>
      </c>
      <c r="H367" s="6"/>
      <c r="I367" s="26" t="n">
        <v>2</v>
      </c>
      <c r="J367" s="26" t="n">
        <f aca="false">COUNTIFS('Control Library'!$A$5:$A$50,"AI-CTRL-013",'Control Library'!$R$5:$R$50,"Implemented")+COUNTIFS('Control Library'!$A$5:$A$50,"AI-CTRL-042",'Control Library'!$R$5:$R$50,"Implemented")</f>
        <v>0</v>
      </c>
      <c r="K367" s="43" t="str">
        <f aca="false">IF(I367=0,"No wiki control",IF(J367=I367,"Fully covered",IF(J367=0,"Not covered","Partly covered")))</f>
        <v>Not covered</v>
      </c>
      <c r="L367" s="9" t="s">
        <v>1579</v>
      </c>
    </row>
    <row r="368" customFormat="false" ht="23.85" hidden="false" customHeight="false" outlineLevel="0" collapsed="false">
      <c r="A368" s="51" t="s">
        <v>583</v>
      </c>
      <c r="B368" s="51" t="s">
        <v>584</v>
      </c>
      <c r="C368" s="5" t="s">
        <v>1612</v>
      </c>
      <c r="D368" s="6" t="s">
        <v>1613</v>
      </c>
      <c r="E368" s="6" t="s">
        <v>1096</v>
      </c>
      <c r="F368" s="6" t="s">
        <v>730</v>
      </c>
      <c r="G368" s="6" t="s">
        <v>1097</v>
      </c>
      <c r="H368" s="6"/>
      <c r="I368" s="26" t="n">
        <v>3</v>
      </c>
      <c r="J368" s="26" t="n">
        <f aca="false">COUNTIFS('Control Library'!$A$5:$A$50,"AI-CTRL-013",'Control Library'!$R$5:$R$50,"Implemented")+COUNTIFS('Control Library'!$A$5:$A$50,"AI-CTRL-041",'Control Library'!$R$5:$R$50,"Implemented")+COUNTIFS('Control Library'!$A$5:$A$50,"AI-CTRL-042",'Control Library'!$R$5:$R$50,"Implemented")</f>
        <v>0</v>
      </c>
      <c r="K368" s="43" t="str">
        <f aca="false">IF(I368=0,"No wiki control",IF(J368=I368,"Fully covered",IF(J368=0,"Not covered","Partly covered")))</f>
        <v>Not covered</v>
      </c>
      <c r="L368" s="9" t="s">
        <v>1579</v>
      </c>
    </row>
    <row r="369" customFormat="false" ht="23.85" hidden="false" customHeight="false" outlineLevel="0" collapsed="false">
      <c r="A369" s="51" t="s">
        <v>583</v>
      </c>
      <c r="B369" s="51" t="s">
        <v>584</v>
      </c>
      <c r="C369" s="5" t="s">
        <v>1614</v>
      </c>
      <c r="D369" s="6" t="s">
        <v>1615</v>
      </c>
      <c r="E369" s="6" t="s">
        <v>513</v>
      </c>
      <c r="F369" s="6" t="s">
        <v>730</v>
      </c>
      <c r="G369" s="6" t="s">
        <v>516</v>
      </c>
      <c r="H369" s="6"/>
      <c r="I369" s="26" t="n">
        <v>1</v>
      </c>
      <c r="J369" s="26" t="n">
        <f aca="false">COUNTIFS('Control Library'!$A$5:$A$50,"AI-CTRL-042",'Control Library'!$R$5:$R$50,"Implemented")</f>
        <v>0</v>
      </c>
      <c r="K369" s="43" t="str">
        <f aca="false">IF(I369=0,"No wiki control",IF(J369=I369,"Fully covered",IF(J369=0,"Not covered","Partly covered")))</f>
        <v>Not covered</v>
      </c>
      <c r="L369" s="9" t="s">
        <v>1579</v>
      </c>
    </row>
    <row r="370" customFormat="false" ht="23.85" hidden="false" customHeight="false" outlineLevel="0" collapsed="false">
      <c r="A370" s="51" t="s">
        <v>583</v>
      </c>
      <c r="B370" s="51" t="s">
        <v>584</v>
      </c>
      <c r="C370" s="5" t="s">
        <v>1616</v>
      </c>
      <c r="D370" s="6" t="s">
        <v>1617</v>
      </c>
      <c r="E370" s="6" t="s">
        <v>435</v>
      </c>
      <c r="F370" s="6" t="s">
        <v>730</v>
      </c>
      <c r="G370" s="6" t="s">
        <v>439</v>
      </c>
      <c r="H370" s="6"/>
      <c r="I370" s="26" t="n">
        <v>1</v>
      </c>
      <c r="J370" s="26" t="n">
        <f aca="false">COUNTIFS('Control Library'!$A$5:$A$50,"AI-CTRL-033",'Control Library'!$R$5:$R$50,"Implemented")</f>
        <v>0</v>
      </c>
      <c r="K370" s="43" t="str">
        <f aca="false">IF(I370=0,"No wiki control",IF(J370=I370,"Fully covered",IF(J370=0,"Not covered","Partly covered")))</f>
        <v>Not covered</v>
      </c>
      <c r="L370" s="9" t="s">
        <v>1579</v>
      </c>
    </row>
    <row r="371" customFormat="false" ht="23.85" hidden="false" customHeight="false" outlineLevel="0" collapsed="false">
      <c r="A371" s="51" t="s">
        <v>583</v>
      </c>
      <c r="B371" s="51" t="s">
        <v>584</v>
      </c>
      <c r="C371" s="5" t="s">
        <v>1618</v>
      </c>
      <c r="D371" s="6" t="s">
        <v>1619</v>
      </c>
      <c r="E371" s="6" t="s">
        <v>1620</v>
      </c>
      <c r="F371" s="6" t="s">
        <v>730</v>
      </c>
      <c r="G371" s="6" t="s">
        <v>439</v>
      </c>
      <c r="H371" s="6"/>
      <c r="I371" s="26" t="n">
        <v>2</v>
      </c>
      <c r="J371" s="26" t="n">
        <f aca="false">COUNTIFS('Control Library'!$A$5:$A$50,"AI-CTRL-030",'Control Library'!$R$5:$R$50,"Implemented")+COUNTIFS('Control Library'!$A$5:$A$50,"AI-CTRL-033",'Control Library'!$R$5:$R$50,"Implemented")</f>
        <v>0</v>
      </c>
      <c r="K371" s="43" t="str">
        <f aca="false">IF(I371=0,"No wiki control",IF(J371=I371,"Fully covered",IF(J371=0,"Not covered","Partly covered")))</f>
        <v>Not covered</v>
      </c>
      <c r="L371" s="9" t="s">
        <v>1579</v>
      </c>
    </row>
    <row r="372" customFormat="false" ht="23.85" hidden="false" customHeight="false" outlineLevel="0" collapsed="false">
      <c r="A372" s="51" t="s">
        <v>583</v>
      </c>
      <c r="B372" s="51" t="s">
        <v>584</v>
      </c>
      <c r="C372" s="5" t="s">
        <v>1621</v>
      </c>
      <c r="D372" s="6" t="s">
        <v>1622</v>
      </c>
      <c r="E372" s="6" t="s">
        <v>1623</v>
      </c>
      <c r="F372" s="6" t="s">
        <v>730</v>
      </c>
      <c r="G372" s="6" t="s">
        <v>1624</v>
      </c>
      <c r="H372" s="6"/>
      <c r="I372" s="26" t="n">
        <v>2</v>
      </c>
      <c r="J372" s="26" t="n">
        <f aca="false">COUNTIFS('Control Library'!$A$5:$A$50,"AI-CTRL-022",'Control Library'!$R$5:$R$50,"Implemented")+COUNTIFS('Control Library'!$A$5:$A$50,"AI-CTRL-033",'Control Library'!$R$5:$R$50,"Implemented")</f>
        <v>0</v>
      </c>
      <c r="K372" s="43" t="str">
        <f aca="false">IF(I372=0,"No wiki control",IF(J372=I372,"Fully covered",IF(J372=0,"Not covered","Partly covered")))</f>
        <v>Not covered</v>
      </c>
      <c r="L372" s="9" t="s">
        <v>1579</v>
      </c>
    </row>
    <row r="373" customFormat="false" ht="23.85" hidden="false" customHeight="false" outlineLevel="0" collapsed="false">
      <c r="A373" s="51" t="s">
        <v>583</v>
      </c>
      <c r="B373" s="51" t="s">
        <v>584</v>
      </c>
      <c r="C373" s="5" t="s">
        <v>1625</v>
      </c>
      <c r="D373" s="6" t="s">
        <v>1626</v>
      </c>
      <c r="E373" s="6" t="s">
        <v>413</v>
      </c>
      <c r="F373" s="6" t="s">
        <v>730</v>
      </c>
      <c r="G373" s="6" t="s">
        <v>399</v>
      </c>
      <c r="H373" s="6"/>
      <c r="I373" s="26" t="n">
        <v>1</v>
      </c>
      <c r="J373" s="26" t="n">
        <f aca="false">COUNTIFS('Control Library'!$A$5:$A$50,"AI-CTRL-030",'Control Library'!$R$5:$R$50,"Implemented")</f>
        <v>0</v>
      </c>
      <c r="K373" s="43" t="str">
        <f aca="false">IF(I373=0,"No wiki control",IF(J373=I373,"Fully covered",IF(J373=0,"Not covered","Partly covered")))</f>
        <v>Not covered</v>
      </c>
      <c r="L373" s="9" t="s">
        <v>1579</v>
      </c>
    </row>
    <row r="374" customFormat="false" ht="46.25" hidden="false" customHeight="false" outlineLevel="0" collapsed="false">
      <c r="A374" s="51" t="s">
        <v>583</v>
      </c>
      <c r="B374" s="51" t="s">
        <v>584</v>
      </c>
      <c r="C374" s="5" t="s">
        <v>1627</v>
      </c>
      <c r="D374" s="6" t="s">
        <v>1628</v>
      </c>
      <c r="E374" s="6" t="s">
        <v>1629</v>
      </c>
      <c r="F374" s="6" t="s">
        <v>730</v>
      </c>
      <c r="G374" s="6" t="s">
        <v>1630</v>
      </c>
      <c r="H374" s="6"/>
      <c r="I374" s="26" t="n">
        <v>8</v>
      </c>
      <c r="J374" s="26" t="n">
        <f aca="false">COUNTIFS('Control Library'!$A$5:$A$50,"AI-CTRL-005",'Control Library'!$R$5:$R$50,"Implemented")+COUNTIFS('Control Library'!$A$5:$A$50,"AI-CTRL-020",'Control Library'!$R$5:$R$50,"Implemented")+COUNTIFS('Control Library'!$A$5:$A$50,"AI-CTRL-021",'Control Library'!$R$5:$R$50,"Implemented")+COUNTIFS('Control Library'!$A$5:$A$50,"AI-CTRL-028",'Control Library'!$R$5:$R$50,"Implemented")+COUNTIFS('Control Library'!$A$5:$A$50,"AI-CTRL-033",'Control Library'!$R$5:$R$50,"Implemented")+COUNTIFS('Control Library'!$A$5:$A$50,"AI-CTRL-034",'Control Library'!$R$5:$R$50,"Implemented")+COUNTIFS('Control Library'!$A$5:$A$50,"AI-CTRL-039",'Control Library'!$R$5:$R$50,"Implemented")+COUNTIFS('Control Library'!$A$5:$A$50,"AI-CTRL-041",'Control Library'!$R$5:$R$50,"Implemented")</f>
        <v>0</v>
      </c>
      <c r="K374" s="43" t="str">
        <f aca="false">IF(I374=0,"No wiki control",IF(J374=I374,"Fully covered",IF(J374=0,"Not covered","Partly covered")))</f>
        <v>Not covered</v>
      </c>
      <c r="L374" s="9" t="s">
        <v>1579</v>
      </c>
    </row>
    <row r="375" customFormat="false" ht="35.05" hidden="false" customHeight="false" outlineLevel="0" collapsed="false">
      <c r="A375" s="51" t="s">
        <v>583</v>
      </c>
      <c r="B375" s="51" t="s">
        <v>584</v>
      </c>
      <c r="C375" s="5" t="s">
        <v>1631</v>
      </c>
      <c r="D375" s="6" t="s">
        <v>1632</v>
      </c>
      <c r="E375" s="6" t="s">
        <v>1633</v>
      </c>
      <c r="F375" s="6" t="s">
        <v>730</v>
      </c>
      <c r="G375" s="6" t="s">
        <v>1634</v>
      </c>
      <c r="H375" s="6"/>
      <c r="I375" s="26" t="n">
        <v>3</v>
      </c>
      <c r="J375" s="26" t="n">
        <f aca="false">COUNTIFS('Control Library'!$A$5:$A$50,"AI-CTRL-027",'Control Library'!$R$5:$R$50,"Implemented")+COUNTIFS('Control Library'!$A$5:$A$50,"AI-CTRL-030",'Control Library'!$R$5:$R$50,"Implemented")+COUNTIFS('Control Library'!$A$5:$A$50,"AI-CTRL-033",'Control Library'!$R$5:$R$50,"Implemented")</f>
        <v>0</v>
      </c>
      <c r="K375" s="43" t="str">
        <f aca="false">IF(I375=0,"No wiki control",IF(J375=I375,"Fully covered",IF(J375=0,"Not covered","Partly covered")))</f>
        <v>Not covered</v>
      </c>
      <c r="L375" s="9" t="s">
        <v>1579</v>
      </c>
    </row>
    <row r="376" customFormat="false" ht="46.25" hidden="false" customHeight="false" outlineLevel="0" collapsed="false">
      <c r="A376" s="51" t="s">
        <v>583</v>
      </c>
      <c r="B376" s="51" t="s">
        <v>584</v>
      </c>
      <c r="C376" s="5" t="s">
        <v>1635</v>
      </c>
      <c r="D376" s="6" t="s">
        <v>1636</v>
      </c>
      <c r="E376" s="6" t="s">
        <v>1637</v>
      </c>
      <c r="F376" s="6" t="s">
        <v>730</v>
      </c>
      <c r="G376" s="6" t="s">
        <v>1638</v>
      </c>
      <c r="H376" s="6"/>
      <c r="I376" s="26" t="n">
        <v>9</v>
      </c>
      <c r="J376" s="26" t="n">
        <f aca="false">COUNTIFS('Control Library'!$A$5:$A$50,"AI-CTRL-005",'Control Library'!$R$5:$R$50,"Implemented")+COUNTIFS('Control Library'!$A$5:$A$50,"AI-CTRL-006",'Control Library'!$R$5:$R$50,"Implemented")+COUNTIFS('Control Library'!$A$5:$A$50,"AI-CTRL-009",'Control Library'!$R$5:$R$50,"Implemented")+COUNTIFS('Control Library'!$A$5:$A$50,"AI-CTRL-020",'Control Library'!$R$5:$R$50,"Implemented")+COUNTIFS('Control Library'!$A$5:$A$50,"AI-CTRL-025",'Control Library'!$R$5:$R$50,"Implemented")+COUNTIFS('Control Library'!$A$5:$A$50,"AI-CTRL-026",'Control Library'!$R$5:$R$50,"Implemented")+COUNTIFS('Control Library'!$A$5:$A$50,"AI-CTRL-028",'Control Library'!$R$5:$R$50,"Implemented")+COUNTIFS('Control Library'!$A$5:$A$50,"AI-CTRL-035",'Control Library'!$R$5:$R$50,"Implemented")+COUNTIFS('Control Library'!$A$5:$A$50,"AI-CTRL-040",'Control Library'!$R$5:$R$50,"Implemented")</f>
        <v>0</v>
      </c>
      <c r="K376" s="43" t="str">
        <f aca="false">IF(I376=0,"No wiki control",IF(J376=I376,"Fully covered",IF(J376=0,"Not covered","Partly covered")))</f>
        <v>Not covered</v>
      </c>
      <c r="L376" s="9" t="s">
        <v>1579</v>
      </c>
    </row>
    <row r="377" customFormat="false" ht="23.85" hidden="false" customHeight="false" outlineLevel="0" collapsed="false">
      <c r="A377" s="51" t="s">
        <v>583</v>
      </c>
      <c r="B377" s="51" t="s">
        <v>584</v>
      </c>
      <c r="C377" s="5" t="s">
        <v>1639</v>
      </c>
      <c r="D377" s="6" t="s">
        <v>1640</v>
      </c>
      <c r="E377" s="6" t="s">
        <v>1641</v>
      </c>
      <c r="F377" s="6" t="s">
        <v>730</v>
      </c>
      <c r="G377" s="6" t="s">
        <v>424</v>
      </c>
      <c r="H377" s="6"/>
      <c r="I377" s="26" t="n">
        <v>2</v>
      </c>
      <c r="J377" s="26" t="n">
        <f aca="false">COUNTIFS('Control Library'!$A$5:$A$50,"AI-CTRL-030",'Control Library'!$R$5:$R$50,"Implemented")+COUNTIFS('Control Library'!$A$5:$A$50,"AI-CTRL-031",'Control Library'!$R$5:$R$50,"Implemented")</f>
        <v>0</v>
      </c>
      <c r="K377" s="43" t="str">
        <f aca="false">IF(I377=0,"No wiki control",IF(J377=I377,"Fully covered",IF(J377=0,"Not covered","Partly covered")))</f>
        <v>Not covered</v>
      </c>
      <c r="L377" s="9" t="s">
        <v>1579</v>
      </c>
    </row>
    <row r="378" customFormat="false" ht="23.85" hidden="false" customHeight="false" outlineLevel="0" collapsed="false">
      <c r="A378" s="51" t="s">
        <v>583</v>
      </c>
      <c r="B378" s="51" t="s">
        <v>584</v>
      </c>
      <c r="C378" s="5" t="s">
        <v>1642</v>
      </c>
      <c r="D378" s="6" t="s">
        <v>1643</v>
      </c>
      <c r="E378" s="6" t="s">
        <v>734</v>
      </c>
      <c r="F378" s="6" t="s">
        <v>730</v>
      </c>
      <c r="G378" s="6" t="s">
        <v>234</v>
      </c>
      <c r="H378" s="6"/>
      <c r="I378" s="26" t="n">
        <v>2</v>
      </c>
      <c r="J378" s="26" t="n">
        <f aca="false">COUNTIFS('Control Library'!$A$5:$A$50,"AI-CTRL-008",'Control Library'!$R$5:$R$50,"Implemented")+COUNTIFS('Control Library'!$A$5:$A$50,"AI-CTRL-009",'Control Library'!$R$5:$R$50,"Implemented")</f>
        <v>0</v>
      </c>
      <c r="K378" s="43" t="str">
        <f aca="false">IF(I378=0,"No wiki control",IF(J378=I378,"Fully covered",IF(J378=0,"Not covered","Partly covered")))</f>
        <v>Not covered</v>
      </c>
      <c r="L378" s="9" t="s">
        <v>1579</v>
      </c>
    </row>
    <row r="379" customFormat="false" ht="23.85" hidden="false" customHeight="false" outlineLevel="0" collapsed="false">
      <c r="A379" s="51" t="s">
        <v>583</v>
      </c>
      <c r="B379" s="51" t="s">
        <v>584</v>
      </c>
      <c r="C379" s="5" t="s">
        <v>1644</v>
      </c>
      <c r="D379" s="6" t="s">
        <v>1645</v>
      </c>
      <c r="E379" s="6" t="s">
        <v>404</v>
      </c>
      <c r="F379" s="6" t="s">
        <v>730</v>
      </c>
      <c r="G379" s="6" t="s">
        <v>399</v>
      </c>
      <c r="H379" s="6"/>
      <c r="I379" s="26" t="n">
        <v>1</v>
      </c>
      <c r="J379" s="26" t="n">
        <f aca="false">COUNTIFS('Control Library'!$A$5:$A$50,"AI-CTRL-029",'Control Library'!$R$5:$R$50,"Implemented")</f>
        <v>0</v>
      </c>
      <c r="K379" s="43" t="str">
        <f aca="false">IF(I379=0,"No wiki control",IF(J379=I379,"Fully covered",IF(J379=0,"Not covered","Partly covered")))</f>
        <v>Not covered</v>
      </c>
      <c r="L379" s="9" t="s">
        <v>1579</v>
      </c>
    </row>
    <row r="380" customFormat="false" ht="23.85" hidden="false" customHeight="false" outlineLevel="0" collapsed="false">
      <c r="A380" s="51" t="s">
        <v>583</v>
      </c>
      <c r="B380" s="51" t="s">
        <v>584</v>
      </c>
      <c r="C380" s="5" t="s">
        <v>1646</v>
      </c>
      <c r="D380" s="6" t="s">
        <v>1647</v>
      </c>
      <c r="E380" s="6" t="s">
        <v>876</v>
      </c>
      <c r="F380" s="6" t="s">
        <v>730</v>
      </c>
      <c r="G380" s="6" t="s">
        <v>327</v>
      </c>
      <c r="H380" s="6"/>
      <c r="I380" s="26" t="n">
        <v>2</v>
      </c>
      <c r="J380" s="26" t="n">
        <f aca="false">COUNTIFS('Control Library'!$A$5:$A$50,"AI-CTRL-019",'Control Library'!$R$5:$R$50,"Implemented")+COUNTIFS('Control Library'!$A$5:$A$50,"AI-CTRL-029",'Control Library'!$R$5:$R$50,"Implemented")</f>
        <v>0</v>
      </c>
      <c r="K380" s="43" t="str">
        <f aca="false">IF(I380=0,"No wiki control",IF(J380=I380,"Fully covered",IF(J380=0,"Not covered","Partly covered")))</f>
        <v>Not covered</v>
      </c>
      <c r="L380" s="9" t="s">
        <v>1579</v>
      </c>
    </row>
    <row r="381" customFormat="false" ht="23.85" hidden="false" customHeight="false" outlineLevel="0" collapsed="false">
      <c r="A381" s="51" t="s">
        <v>583</v>
      </c>
      <c r="B381" s="51" t="s">
        <v>584</v>
      </c>
      <c r="C381" s="5" t="s">
        <v>1648</v>
      </c>
      <c r="D381" s="6" t="s">
        <v>1649</v>
      </c>
      <c r="E381" s="6" t="s">
        <v>876</v>
      </c>
      <c r="F381" s="6" t="s">
        <v>730</v>
      </c>
      <c r="G381" s="6" t="s">
        <v>327</v>
      </c>
      <c r="H381" s="6"/>
      <c r="I381" s="26" t="n">
        <v>2</v>
      </c>
      <c r="J381" s="26" t="n">
        <f aca="false">COUNTIFS('Control Library'!$A$5:$A$50,"AI-CTRL-019",'Control Library'!$R$5:$R$50,"Implemented")+COUNTIFS('Control Library'!$A$5:$A$50,"AI-CTRL-029",'Control Library'!$R$5:$R$50,"Implemented")</f>
        <v>0</v>
      </c>
      <c r="K381" s="43" t="str">
        <f aca="false">IF(I381=0,"No wiki control",IF(J381=I381,"Fully covered",IF(J381=0,"Not covered","Partly covered")))</f>
        <v>Not covered</v>
      </c>
      <c r="L381" s="9" t="s">
        <v>1579</v>
      </c>
    </row>
    <row r="382" customFormat="false" ht="23.85" hidden="false" customHeight="false" outlineLevel="0" collapsed="false">
      <c r="A382" s="51" t="s">
        <v>583</v>
      </c>
      <c r="B382" s="51" t="s">
        <v>584</v>
      </c>
      <c r="C382" s="5" t="s">
        <v>1650</v>
      </c>
      <c r="D382" s="6" t="s">
        <v>1651</v>
      </c>
      <c r="E382" s="6" t="s">
        <v>1652</v>
      </c>
      <c r="F382" s="6" t="s">
        <v>730</v>
      </c>
      <c r="G382" s="6" t="s">
        <v>1653</v>
      </c>
      <c r="H382" s="6"/>
      <c r="I382" s="26" t="n">
        <v>4</v>
      </c>
      <c r="J382" s="26" t="n">
        <f aca="false">COUNTIFS('Control Library'!$A$5:$A$50,"AI-CTRL-019",'Control Library'!$R$5:$R$50,"Implemented")+COUNTIFS('Control Library'!$A$5:$A$50,"AI-CTRL-029",'Control Library'!$R$5:$R$50,"Implemented")+COUNTIFS('Control Library'!$A$5:$A$50,"AI-CTRL-031",'Control Library'!$R$5:$R$50,"Implemented")+COUNTIFS('Control Library'!$A$5:$A$50,"AI-CTRL-046",'Control Library'!$R$5:$R$50,"Implemented")</f>
        <v>0</v>
      </c>
      <c r="K382" s="43" t="str">
        <f aca="false">IF(I382=0,"No wiki control",IF(J382=I382,"Fully covered",IF(J382=0,"Not covered","Partly covered")))</f>
        <v>Not covered</v>
      </c>
      <c r="L382" s="9" t="s">
        <v>1579</v>
      </c>
    </row>
    <row r="383" customFormat="false" ht="23.85" hidden="false" customHeight="false" outlineLevel="0" collapsed="false">
      <c r="A383" s="51" t="s">
        <v>583</v>
      </c>
      <c r="B383" s="51" t="s">
        <v>584</v>
      </c>
      <c r="C383" s="5" t="s">
        <v>1654</v>
      </c>
      <c r="D383" s="6" t="s">
        <v>1655</v>
      </c>
      <c r="E383" s="6" t="s">
        <v>307</v>
      </c>
      <c r="F383" s="6" t="s">
        <v>730</v>
      </c>
      <c r="G383" s="6" t="s">
        <v>310</v>
      </c>
      <c r="H383" s="6"/>
      <c r="I383" s="26" t="n">
        <v>1</v>
      </c>
      <c r="J383" s="26" t="n">
        <f aca="false">COUNTIFS('Control Library'!$A$5:$A$50,"AI-CTRL-017",'Control Library'!$R$5:$R$50,"Implemented")</f>
        <v>0</v>
      </c>
      <c r="K383" s="43" t="str">
        <f aca="false">IF(I383=0,"No wiki control",IF(J383=I383,"Fully covered",IF(J383=0,"Not covered","Partly covered")))</f>
        <v>Not covered</v>
      </c>
      <c r="L383" s="9" t="s">
        <v>1579</v>
      </c>
    </row>
    <row r="384" customFormat="false" ht="23.85" hidden="false" customHeight="false" outlineLevel="0" collapsed="false">
      <c r="A384" s="51" t="s">
        <v>583</v>
      </c>
      <c r="B384" s="51" t="s">
        <v>584</v>
      </c>
      <c r="C384" s="5" t="s">
        <v>1656</v>
      </c>
      <c r="D384" s="6" t="s">
        <v>1657</v>
      </c>
      <c r="E384" s="6" t="s">
        <v>1658</v>
      </c>
      <c r="F384" s="6" t="s">
        <v>730</v>
      </c>
      <c r="G384" s="6" t="s">
        <v>1659</v>
      </c>
      <c r="H384" s="6"/>
      <c r="I384" s="26" t="n">
        <v>2</v>
      </c>
      <c r="J384" s="26" t="n">
        <f aca="false">COUNTIFS('Control Library'!$A$5:$A$50,"AI-CTRL-039",'Control Library'!$R$5:$R$50,"Implemented")+COUNTIFS('Control Library'!$A$5:$A$50,"AI-CTRL-041",'Control Library'!$R$5:$R$50,"Implemented")</f>
        <v>0</v>
      </c>
      <c r="K384" s="43" t="str">
        <f aca="false">IF(I384=0,"No wiki control",IF(J384=I384,"Fully covered",IF(J384=0,"Not covered","Partly covered")))</f>
        <v>Not covered</v>
      </c>
      <c r="L384" s="9" t="s">
        <v>1579</v>
      </c>
    </row>
    <row r="385" customFormat="false" ht="23.85" hidden="false" customHeight="false" outlineLevel="0" collapsed="false">
      <c r="A385" s="51" t="s">
        <v>583</v>
      </c>
      <c r="B385" s="51" t="s">
        <v>584</v>
      </c>
      <c r="C385" s="5" t="s">
        <v>1660</v>
      </c>
      <c r="D385" s="6" t="s">
        <v>1661</v>
      </c>
      <c r="E385" s="6" t="s">
        <v>1662</v>
      </c>
      <c r="F385" s="6" t="s">
        <v>730</v>
      </c>
      <c r="G385" s="6" t="s">
        <v>1663</v>
      </c>
      <c r="H385" s="6"/>
      <c r="I385" s="26" t="n">
        <v>2</v>
      </c>
      <c r="J385" s="26" t="n">
        <f aca="false">COUNTIFS('Control Library'!$A$5:$A$50,"AI-CTRL-035",'Control Library'!$R$5:$R$50,"Implemented")+COUNTIFS('Control Library'!$A$5:$A$50,"AI-CTRL-043",'Control Library'!$R$5:$R$50,"Implemented")</f>
        <v>0</v>
      </c>
      <c r="K385" s="43" t="str">
        <f aca="false">IF(I385=0,"No wiki control",IF(J385=I385,"Fully covered",IF(J385=0,"Not covered","Partly covered")))</f>
        <v>Not covered</v>
      </c>
      <c r="L385" s="9" t="s">
        <v>1579</v>
      </c>
    </row>
    <row r="386" customFormat="false" ht="23.85" hidden="false" customHeight="false" outlineLevel="0" collapsed="false">
      <c r="A386" s="51" t="s">
        <v>583</v>
      </c>
      <c r="B386" s="51" t="s">
        <v>584</v>
      </c>
      <c r="C386" s="5" t="s">
        <v>1664</v>
      </c>
      <c r="D386" s="6" t="s">
        <v>1665</v>
      </c>
      <c r="E386" s="6" t="s">
        <v>453</v>
      </c>
      <c r="F386" s="6" t="s">
        <v>730</v>
      </c>
      <c r="G386" s="6" t="s">
        <v>456</v>
      </c>
      <c r="H386" s="6"/>
      <c r="I386" s="26" t="n">
        <v>1</v>
      </c>
      <c r="J386" s="26" t="n">
        <f aca="false">COUNTIFS('Control Library'!$A$5:$A$50,"AI-CTRL-035",'Control Library'!$R$5:$R$50,"Implemented")</f>
        <v>0</v>
      </c>
      <c r="K386" s="43" t="str">
        <f aca="false">IF(I386=0,"No wiki control",IF(J386=I386,"Fully covered",IF(J386=0,"Not covered","Partly covered")))</f>
        <v>Not covered</v>
      </c>
      <c r="L386" s="9" t="s">
        <v>1579</v>
      </c>
    </row>
    <row r="387" customFormat="false" ht="23.85" hidden="false" customHeight="false" outlineLevel="0" collapsed="false">
      <c r="A387" s="51" t="s">
        <v>583</v>
      </c>
      <c r="B387" s="51" t="s">
        <v>584</v>
      </c>
      <c r="C387" s="5" t="s">
        <v>1666</v>
      </c>
      <c r="D387" s="6" t="s">
        <v>1667</v>
      </c>
      <c r="E387" s="6" t="s">
        <v>522</v>
      </c>
      <c r="F387" s="6" t="s">
        <v>730</v>
      </c>
      <c r="G387" s="6" t="s">
        <v>525</v>
      </c>
      <c r="H387" s="6"/>
      <c r="I387" s="26" t="n">
        <v>1</v>
      </c>
      <c r="J387" s="26" t="n">
        <f aca="false">COUNTIFS('Control Library'!$A$5:$A$50,"AI-CTRL-043",'Control Library'!$R$5:$R$50,"Implemented")</f>
        <v>0</v>
      </c>
      <c r="K387" s="43" t="str">
        <f aca="false">IF(I387=0,"No wiki control",IF(J387=I387,"Fully covered",IF(J387=0,"Not covered","Partly covered")))</f>
        <v>Not covered</v>
      </c>
      <c r="L387" s="9" t="s">
        <v>1579</v>
      </c>
    </row>
    <row r="388" customFormat="false" ht="46.25" hidden="false" customHeight="false" outlineLevel="0" collapsed="false">
      <c r="A388" s="51" t="s">
        <v>583</v>
      </c>
      <c r="B388" s="51" t="s">
        <v>584</v>
      </c>
      <c r="C388" s="5" t="s">
        <v>1668</v>
      </c>
      <c r="D388" s="6" t="s">
        <v>1669</v>
      </c>
      <c r="E388" s="6" t="s">
        <v>1670</v>
      </c>
      <c r="F388" s="6" t="s">
        <v>730</v>
      </c>
      <c r="G388" s="6" t="s">
        <v>1671</v>
      </c>
      <c r="H388" s="6"/>
      <c r="I388" s="26" t="n">
        <v>6</v>
      </c>
      <c r="J388" s="26" t="n">
        <f aca="false">COUNTIFS('Control Library'!$A$5:$A$50,"AI-CTRL-002",'Control Library'!$R$5:$R$50,"Implemented")+COUNTIFS('Control Library'!$A$5:$A$50,"AI-CTRL-003",'Control Library'!$R$5:$R$50,"Implemented")+COUNTIFS('Control Library'!$A$5:$A$50,"AI-CTRL-004",'Control Library'!$R$5:$R$50,"Implemented")+COUNTIFS('Control Library'!$A$5:$A$50,"AI-CTRL-010",'Control Library'!$R$5:$R$50,"Implemented")+COUNTIFS('Control Library'!$A$5:$A$50,"AI-CTRL-023",'Control Library'!$R$5:$R$50,"Implemented")+COUNTIFS('Control Library'!$A$5:$A$50,"AI-CTRL-045",'Control Library'!$R$5:$R$50,"Implemented")</f>
        <v>0</v>
      </c>
      <c r="K388" s="43" t="str">
        <f aca="false">IF(I388=0,"No wiki control",IF(J388=I388,"Fully covered",IF(J388=0,"Not covered","Partly covered")))</f>
        <v>Not covered</v>
      </c>
      <c r="L388" s="9" t="s">
        <v>1579</v>
      </c>
    </row>
    <row r="389" customFormat="false" ht="23.85" hidden="false" customHeight="false" outlineLevel="0" collapsed="false">
      <c r="A389" s="51" t="s">
        <v>583</v>
      </c>
      <c r="B389" s="51" t="s">
        <v>584</v>
      </c>
      <c r="C389" s="5" t="s">
        <v>1672</v>
      </c>
      <c r="D389" s="6" t="s">
        <v>1673</v>
      </c>
      <c r="E389" s="6" t="s">
        <v>805</v>
      </c>
      <c r="F389" s="6" t="s">
        <v>730</v>
      </c>
      <c r="G389" s="6" t="s">
        <v>542</v>
      </c>
      <c r="H389" s="6"/>
      <c r="I389" s="26" t="n">
        <v>2</v>
      </c>
      <c r="J389" s="26" t="n">
        <f aca="false">COUNTIFS('Control Library'!$A$5:$A$50,"AI-CTRL-023",'Control Library'!$R$5:$R$50,"Implemented")+COUNTIFS('Control Library'!$A$5:$A$50,"AI-CTRL-045",'Control Library'!$R$5:$R$50,"Implemented")</f>
        <v>0</v>
      </c>
      <c r="K389" s="43" t="str">
        <f aca="false">IF(I389=0,"No wiki control",IF(J389=I389,"Fully covered",IF(J389=0,"Not covered","Partly covered")))</f>
        <v>Not covered</v>
      </c>
      <c r="L389" s="9" t="s">
        <v>1579</v>
      </c>
    </row>
    <row r="390" customFormat="false" ht="23.85" hidden="false" customHeight="false" outlineLevel="0" collapsed="false">
      <c r="A390" s="51" t="s">
        <v>583</v>
      </c>
      <c r="B390" s="51" t="s">
        <v>584</v>
      </c>
      <c r="C390" s="5" t="s">
        <v>1674</v>
      </c>
      <c r="D390" s="6" t="s">
        <v>1675</v>
      </c>
      <c r="E390" s="6" t="s">
        <v>255</v>
      </c>
      <c r="F390" s="6" t="s">
        <v>730</v>
      </c>
      <c r="G390" s="6" t="s">
        <v>258</v>
      </c>
      <c r="H390" s="6"/>
      <c r="I390" s="26" t="n">
        <v>1</v>
      </c>
      <c r="J390" s="26" t="n">
        <f aca="false">COUNTIFS('Control Library'!$A$5:$A$50,"AI-CTRL-011",'Control Library'!$R$5:$R$50,"Implemented")</f>
        <v>0</v>
      </c>
      <c r="K390" s="43" t="str">
        <f aca="false">IF(I390=0,"No wiki control",IF(J390=I390,"Fully covered",IF(J390=0,"Not covered","Partly covered")))</f>
        <v>Not covered</v>
      </c>
      <c r="L390" s="9" t="s">
        <v>1579</v>
      </c>
    </row>
    <row r="391" customFormat="false" ht="23.85" hidden="false" customHeight="false" outlineLevel="0" collapsed="false">
      <c r="A391" s="51" t="s">
        <v>583</v>
      </c>
      <c r="B391" s="51" t="s">
        <v>584</v>
      </c>
      <c r="C391" s="5" t="s">
        <v>1676</v>
      </c>
      <c r="D391" s="6" t="s">
        <v>1677</v>
      </c>
      <c r="E391" s="6" t="s">
        <v>282</v>
      </c>
      <c r="F391" s="6" t="s">
        <v>730</v>
      </c>
      <c r="G391" s="6" t="s">
        <v>286</v>
      </c>
      <c r="H391" s="6"/>
      <c r="I391" s="26" t="n">
        <v>1</v>
      </c>
      <c r="J391" s="26" t="n">
        <f aca="false">COUNTIFS('Control Library'!$A$5:$A$50,"AI-CTRL-014",'Control Library'!$R$5:$R$50,"Implemented")</f>
        <v>0</v>
      </c>
      <c r="K391" s="43" t="str">
        <f aca="false">IF(I391=0,"No wiki control",IF(J391=I391,"Fully covered",IF(J391=0,"Not covered","Partly covered")))</f>
        <v>Not covered</v>
      </c>
      <c r="L391" s="9" t="s">
        <v>1579</v>
      </c>
    </row>
    <row r="392" customFormat="false" ht="23.85" hidden="false" customHeight="false" outlineLevel="0" collapsed="false">
      <c r="A392" s="51" t="s">
        <v>583</v>
      </c>
      <c r="B392" s="51" t="s">
        <v>584</v>
      </c>
      <c r="C392" s="5" t="s">
        <v>1678</v>
      </c>
      <c r="D392" s="6" t="s">
        <v>1679</v>
      </c>
      <c r="E392" s="6" t="s">
        <v>1680</v>
      </c>
      <c r="F392" s="6" t="s">
        <v>730</v>
      </c>
      <c r="G392" s="6" t="s">
        <v>1089</v>
      </c>
      <c r="H392" s="6"/>
      <c r="I392" s="26" t="n">
        <v>5</v>
      </c>
      <c r="J392" s="26" t="n">
        <f aca="false">COUNTIFS('Control Library'!$A$5:$A$50,"AI-CTRL-007",'Control Library'!$R$5:$R$50,"Implemented")+COUNTIFS('Control Library'!$A$5:$A$50,"AI-CTRL-014",'Control Library'!$R$5:$R$50,"Implemented")+COUNTIFS('Control Library'!$A$5:$A$50,"AI-CTRL-024",'Control Library'!$R$5:$R$50,"Implemented")+COUNTIFS('Control Library'!$A$5:$A$50,"AI-CTRL-031",'Control Library'!$R$5:$R$50,"Implemented")+COUNTIFS('Control Library'!$A$5:$A$50,"AI-CTRL-046",'Control Library'!$R$5:$R$50,"Implemented")</f>
        <v>0</v>
      </c>
      <c r="K392" s="43" t="str">
        <f aca="false">IF(I392=0,"No wiki control",IF(J392=I392,"Fully covered",IF(J392=0,"Not covered","Partly covered")))</f>
        <v>Not covered</v>
      </c>
      <c r="L392" s="9" t="s">
        <v>1579</v>
      </c>
    </row>
    <row r="393" customFormat="false" ht="23.85" hidden="false" customHeight="false" outlineLevel="0" collapsed="false">
      <c r="A393" s="51" t="s">
        <v>583</v>
      </c>
      <c r="B393" s="51" t="s">
        <v>584</v>
      </c>
      <c r="C393" s="5" t="s">
        <v>1681</v>
      </c>
      <c r="D393" s="6" t="s">
        <v>1682</v>
      </c>
      <c r="E393" s="6" t="s">
        <v>504</v>
      </c>
      <c r="F393" s="6" t="s">
        <v>730</v>
      </c>
      <c r="G393" s="6" t="s">
        <v>507</v>
      </c>
      <c r="H393" s="6"/>
      <c r="I393" s="26" t="n">
        <v>1</v>
      </c>
      <c r="J393" s="26" t="n">
        <f aca="false">COUNTIFS('Control Library'!$A$5:$A$50,"AI-CTRL-041",'Control Library'!$R$5:$R$50,"Implemented")</f>
        <v>0</v>
      </c>
      <c r="K393" s="43" t="str">
        <f aca="false">IF(I393=0,"No wiki control",IF(J393=I393,"Fully covered",IF(J393=0,"Not covered","Partly covered")))</f>
        <v>Not covered</v>
      </c>
      <c r="L393" s="9" t="s">
        <v>1579</v>
      </c>
    </row>
    <row r="394" customFormat="false" ht="23.85" hidden="false" customHeight="false" outlineLevel="0" collapsed="false">
      <c r="A394" s="51" t="s">
        <v>585</v>
      </c>
      <c r="B394" s="51" t="s">
        <v>584</v>
      </c>
      <c r="C394" s="5" t="s">
        <v>1683</v>
      </c>
      <c r="D394" s="6" t="s">
        <v>1684</v>
      </c>
      <c r="E394" s="6" t="s">
        <v>522</v>
      </c>
      <c r="F394" s="6" t="s">
        <v>730</v>
      </c>
      <c r="G394" s="6" t="s">
        <v>525</v>
      </c>
      <c r="H394" s="6"/>
      <c r="I394" s="26" t="n">
        <v>1</v>
      </c>
      <c r="J394" s="26" t="n">
        <f aca="false">COUNTIFS('Control Library'!$A$5:$A$50,"AI-CTRL-043",'Control Library'!$R$5:$R$50,"Implemented")</f>
        <v>0</v>
      </c>
      <c r="K394" s="43" t="str">
        <f aca="false">IF(I394=0,"No wiki control",IF(J394=I394,"Fully covered",IF(J394=0,"Not covered","Partly covered")))</f>
        <v>Not covered</v>
      </c>
      <c r="L394" s="9" t="s">
        <v>1579</v>
      </c>
    </row>
    <row r="395" customFormat="false" ht="23.85" hidden="false" customHeight="false" outlineLevel="0" collapsed="false">
      <c r="A395" s="51" t="s">
        <v>585</v>
      </c>
      <c r="B395" s="51" t="s">
        <v>584</v>
      </c>
      <c r="C395" s="5" t="s">
        <v>1685</v>
      </c>
      <c r="D395" s="6" t="s">
        <v>1686</v>
      </c>
      <c r="E395" s="6" t="s">
        <v>470</v>
      </c>
      <c r="F395" s="6" t="s">
        <v>730</v>
      </c>
      <c r="G395" s="6" t="s">
        <v>473</v>
      </c>
      <c r="H395" s="6"/>
      <c r="I395" s="26" t="n">
        <v>1</v>
      </c>
      <c r="J395" s="26" t="n">
        <f aca="false">COUNTIFS('Control Library'!$A$5:$A$50,"AI-CTRL-037",'Control Library'!$R$5:$R$50,"Implemented")</f>
        <v>0</v>
      </c>
      <c r="K395" s="43" t="str">
        <f aca="false">IF(I395=0,"No wiki control",IF(J395=I395,"Fully covered",IF(J395=0,"Not covered","Partly covered")))</f>
        <v>Not covered</v>
      </c>
      <c r="L395" s="9" t="s">
        <v>1579</v>
      </c>
    </row>
    <row r="396" customFormat="false" ht="23.85" hidden="false" customHeight="false" outlineLevel="0" collapsed="false">
      <c r="A396" s="51" t="s">
        <v>585</v>
      </c>
      <c r="B396" s="51" t="s">
        <v>584</v>
      </c>
      <c r="C396" s="5" t="s">
        <v>1687</v>
      </c>
      <c r="D396" s="6" t="s">
        <v>1688</v>
      </c>
      <c r="E396" s="6" t="s">
        <v>470</v>
      </c>
      <c r="F396" s="6" t="s">
        <v>730</v>
      </c>
      <c r="G396" s="6" t="s">
        <v>473</v>
      </c>
      <c r="H396" s="6"/>
      <c r="I396" s="26" t="n">
        <v>1</v>
      </c>
      <c r="J396" s="26" t="n">
        <f aca="false">COUNTIFS('Control Library'!$A$5:$A$50,"AI-CTRL-037",'Control Library'!$R$5:$R$50,"Implemented")</f>
        <v>0</v>
      </c>
      <c r="K396" s="43" t="str">
        <f aca="false">IF(I396=0,"No wiki control",IF(J396=I396,"Fully covered",IF(J396=0,"Not covered","Partly covered")))</f>
        <v>Not covered</v>
      </c>
      <c r="L396" s="9" t="s">
        <v>1579</v>
      </c>
    </row>
    <row r="397" customFormat="false" ht="23.85" hidden="false" customHeight="false" outlineLevel="0" collapsed="false">
      <c r="A397" s="51" t="s">
        <v>585</v>
      </c>
      <c r="B397" s="51" t="s">
        <v>584</v>
      </c>
      <c r="C397" s="5" t="s">
        <v>1689</v>
      </c>
      <c r="D397" s="6" t="s">
        <v>1690</v>
      </c>
      <c r="E397" s="6" t="s">
        <v>530</v>
      </c>
      <c r="F397" s="6" t="s">
        <v>730</v>
      </c>
      <c r="G397" s="6" t="s">
        <v>533</v>
      </c>
      <c r="H397" s="6"/>
      <c r="I397" s="26" t="n">
        <v>1</v>
      </c>
      <c r="J397" s="26" t="n">
        <f aca="false">COUNTIFS('Control Library'!$A$5:$A$50,"AI-CTRL-044",'Control Library'!$R$5:$R$50,"Implemented")</f>
        <v>0</v>
      </c>
      <c r="K397" s="43" t="str">
        <f aca="false">IF(I397=0,"No wiki control",IF(J397=I397,"Fully covered",IF(J397=0,"Not covered","Partly covered")))</f>
        <v>Not covered</v>
      </c>
      <c r="L397" s="9" t="s">
        <v>1579</v>
      </c>
    </row>
    <row r="398" customFormat="false" ht="23.85" hidden="false" customHeight="false" outlineLevel="0" collapsed="false">
      <c r="A398" s="51" t="s">
        <v>585</v>
      </c>
      <c r="B398" s="51" t="s">
        <v>584</v>
      </c>
      <c r="C398" s="5" t="s">
        <v>1691</v>
      </c>
      <c r="D398" s="6" t="s">
        <v>1692</v>
      </c>
      <c r="E398" s="6" t="s">
        <v>530</v>
      </c>
      <c r="F398" s="6" t="s">
        <v>730</v>
      </c>
      <c r="G398" s="6" t="s">
        <v>533</v>
      </c>
      <c r="H398" s="6"/>
      <c r="I398" s="26" t="n">
        <v>1</v>
      </c>
      <c r="J398" s="26" t="n">
        <f aca="false">COUNTIFS('Control Library'!$A$5:$A$50,"AI-CTRL-044",'Control Library'!$R$5:$R$50,"Implemented")</f>
        <v>0</v>
      </c>
      <c r="K398" s="43" t="str">
        <f aca="false">IF(I398=0,"No wiki control",IF(J398=I398,"Fully covered",IF(J398=0,"Not covered","Partly covered")))</f>
        <v>Not covered</v>
      </c>
      <c r="L398" s="9" t="s">
        <v>1579</v>
      </c>
    </row>
    <row r="399" customFormat="false" ht="23.85" hidden="false" customHeight="false" outlineLevel="0" collapsed="false">
      <c r="A399" s="51" t="s">
        <v>585</v>
      </c>
      <c r="B399" s="51" t="s">
        <v>584</v>
      </c>
      <c r="C399" s="5" t="s">
        <v>1693</v>
      </c>
      <c r="D399" s="6" t="s">
        <v>1694</v>
      </c>
      <c r="E399" s="6" t="s">
        <v>478</v>
      </c>
      <c r="F399" s="6" t="s">
        <v>730</v>
      </c>
      <c r="G399" s="6" t="s">
        <v>481</v>
      </c>
      <c r="H399" s="6"/>
      <c r="I399" s="26" t="n">
        <v>1</v>
      </c>
      <c r="J399" s="26" t="n">
        <f aca="false">COUNTIFS('Control Library'!$A$5:$A$50,"AI-CTRL-038",'Control Library'!$R$5:$R$50,"Implemented")</f>
        <v>0</v>
      </c>
      <c r="K399" s="43" t="str">
        <f aca="false">IF(I399=0,"No wiki control",IF(J399=I399,"Fully covered",IF(J399=0,"Not covered","Partly covered")))</f>
        <v>Not covered</v>
      </c>
      <c r="L399" s="9" t="s">
        <v>1579</v>
      </c>
    </row>
    <row r="400" customFormat="false" ht="23.85" hidden="false" customHeight="false" outlineLevel="0" collapsed="false">
      <c r="A400" s="51" t="s">
        <v>585</v>
      </c>
      <c r="B400" s="51" t="s">
        <v>584</v>
      </c>
      <c r="C400" s="5" t="s">
        <v>1695</v>
      </c>
      <c r="D400" s="6" t="s">
        <v>1696</v>
      </c>
      <c r="E400" s="6" t="s">
        <v>478</v>
      </c>
      <c r="F400" s="6" t="s">
        <v>730</v>
      </c>
      <c r="G400" s="6" t="s">
        <v>481</v>
      </c>
      <c r="H400" s="6"/>
      <c r="I400" s="26" t="n">
        <v>1</v>
      </c>
      <c r="J400" s="26" t="n">
        <f aca="false">COUNTIFS('Control Library'!$A$5:$A$50,"AI-CTRL-038",'Control Library'!$R$5:$R$50,"Implemented")</f>
        <v>0</v>
      </c>
      <c r="K400" s="43" t="str">
        <f aca="false">IF(I400=0,"No wiki control",IF(J400=I400,"Fully covered",IF(J400=0,"Not covered","Partly covered")))</f>
        <v>Not covered</v>
      </c>
      <c r="L400" s="9" t="s">
        <v>1579</v>
      </c>
    </row>
    <row r="401" customFormat="false" ht="23.85" hidden="false" customHeight="false" outlineLevel="0" collapsed="false">
      <c r="A401" s="51" t="s">
        <v>585</v>
      </c>
      <c r="B401" s="51" t="s">
        <v>584</v>
      </c>
      <c r="C401" s="5" t="s">
        <v>1697</v>
      </c>
      <c r="D401" s="6" t="s">
        <v>1698</v>
      </c>
      <c r="E401" s="6" t="s">
        <v>478</v>
      </c>
      <c r="F401" s="6" t="s">
        <v>730</v>
      </c>
      <c r="G401" s="6" t="s">
        <v>481</v>
      </c>
      <c r="H401" s="6"/>
      <c r="I401" s="26" t="n">
        <v>1</v>
      </c>
      <c r="J401" s="26" t="n">
        <f aca="false">COUNTIFS('Control Library'!$A$5:$A$50,"AI-CTRL-038",'Control Library'!$R$5:$R$50,"Implemented")</f>
        <v>0</v>
      </c>
      <c r="K401" s="43" t="str">
        <f aca="false">IF(I401=0,"No wiki control",IF(J401=I401,"Fully covered",IF(J401=0,"Not covered","Partly covered")))</f>
        <v>Not covered</v>
      </c>
      <c r="L401" s="9" t="s">
        <v>1579</v>
      </c>
    </row>
    <row r="402" customFormat="false" ht="23.85" hidden="false" customHeight="false" outlineLevel="0" collapsed="false">
      <c r="A402" s="51" t="s">
        <v>585</v>
      </c>
      <c r="B402" s="51" t="s">
        <v>584</v>
      </c>
      <c r="C402" s="5" t="s">
        <v>1699</v>
      </c>
      <c r="D402" s="6" t="s">
        <v>1700</v>
      </c>
      <c r="E402" s="6" t="s">
        <v>478</v>
      </c>
      <c r="F402" s="6" t="s">
        <v>730</v>
      </c>
      <c r="G402" s="6" t="s">
        <v>481</v>
      </c>
      <c r="H402" s="6"/>
      <c r="I402" s="26" t="n">
        <v>1</v>
      </c>
      <c r="J402" s="26" t="n">
        <f aca="false">COUNTIFS('Control Library'!$A$5:$A$50,"AI-CTRL-038",'Control Library'!$R$5:$R$50,"Implemented")</f>
        <v>0</v>
      </c>
      <c r="K402" s="43" t="str">
        <f aca="false">IF(I402=0,"No wiki control",IF(J402=I402,"Fully covered",IF(J402=0,"Not covered","Partly covered")))</f>
        <v>Not covered</v>
      </c>
      <c r="L402" s="9" t="s">
        <v>1579</v>
      </c>
    </row>
    <row r="403" customFormat="false" ht="23.85" hidden="false" customHeight="false" outlineLevel="0" collapsed="false">
      <c r="A403" s="51" t="s">
        <v>586</v>
      </c>
      <c r="B403" s="51" t="s">
        <v>584</v>
      </c>
      <c r="C403" s="5" t="s">
        <v>1701</v>
      </c>
      <c r="D403" s="6" t="s">
        <v>1702</v>
      </c>
      <c r="E403" s="6" t="s">
        <v>263</v>
      </c>
      <c r="F403" s="6" t="s">
        <v>730</v>
      </c>
      <c r="G403" s="6" t="s">
        <v>266</v>
      </c>
      <c r="H403" s="6"/>
      <c r="I403" s="26" t="n">
        <v>1</v>
      </c>
      <c r="J403" s="26" t="n">
        <f aca="false">COUNTIFS('Control Library'!$A$5:$A$50,"AI-CTRL-012",'Control Library'!$R$5:$R$50,"Implemented")</f>
        <v>0</v>
      </c>
      <c r="K403" s="43" t="str">
        <f aca="false">IF(I403=0,"No wiki control",IF(J403=I403,"Fully covered",IF(J403=0,"Not covered","Partly covered")))</f>
        <v>Not covered</v>
      </c>
      <c r="L403" s="9" t="s">
        <v>1703</v>
      </c>
    </row>
    <row r="404" customFormat="false" ht="23.85" hidden="false" customHeight="false" outlineLevel="0" collapsed="false">
      <c r="A404" s="51" t="s">
        <v>586</v>
      </c>
      <c r="B404" s="51" t="s">
        <v>584</v>
      </c>
      <c r="C404" s="5" t="s">
        <v>1604</v>
      </c>
      <c r="D404" s="6" t="s">
        <v>1704</v>
      </c>
      <c r="E404" s="6" t="s">
        <v>263</v>
      </c>
      <c r="F404" s="6" t="s">
        <v>730</v>
      </c>
      <c r="G404" s="6" t="s">
        <v>266</v>
      </c>
      <c r="H404" s="6"/>
      <c r="I404" s="26" t="n">
        <v>1</v>
      </c>
      <c r="J404" s="26" t="n">
        <f aca="false">COUNTIFS('Control Library'!$A$5:$A$50,"AI-CTRL-012",'Control Library'!$R$5:$R$50,"Implemented")</f>
        <v>0</v>
      </c>
      <c r="K404" s="43" t="str">
        <f aca="false">IF(I404=0,"No wiki control",IF(J404=I404,"Fully covered",IF(J404=0,"Not covered","Partly covered")))</f>
        <v>Not covered</v>
      </c>
      <c r="L404" s="9" t="s">
        <v>1703</v>
      </c>
    </row>
    <row r="405" customFormat="false" ht="23.85" hidden="false" customHeight="false" outlineLevel="0" collapsed="false">
      <c r="A405" s="51" t="s">
        <v>586</v>
      </c>
      <c r="B405" s="51" t="s">
        <v>584</v>
      </c>
      <c r="C405" s="5" t="s">
        <v>1608</v>
      </c>
      <c r="D405" s="6" t="s">
        <v>1705</v>
      </c>
      <c r="E405" s="6" t="s">
        <v>1397</v>
      </c>
      <c r="F405" s="6" t="s">
        <v>730</v>
      </c>
      <c r="G405" s="6" t="s">
        <v>1398</v>
      </c>
      <c r="H405" s="6"/>
      <c r="I405" s="26" t="n">
        <v>2</v>
      </c>
      <c r="J405" s="26" t="n">
        <f aca="false">COUNTIFS('Control Library'!$A$5:$A$50,"AI-CTRL-022",'Control Library'!$R$5:$R$50,"Implemented")+COUNTIFS('Control Library'!$A$5:$A$50,"AI-CTRL-023",'Control Library'!$R$5:$R$50,"Implemented")</f>
        <v>0</v>
      </c>
      <c r="K405" s="43" t="str">
        <f aca="false">IF(I405=0,"No wiki control",IF(J405=I405,"Fully covered",IF(J405=0,"Not covered","Partly covered")))</f>
        <v>Not covered</v>
      </c>
      <c r="L405" s="9" t="s">
        <v>1703</v>
      </c>
    </row>
    <row r="406" customFormat="false" ht="23.85" hidden="false" customHeight="false" outlineLevel="0" collapsed="false">
      <c r="A406" s="51" t="s">
        <v>586</v>
      </c>
      <c r="B406" s="51" t="s">
        <v>584</v>
      </c>
      <c r="C406" s="5" t="s">
        <v>1612</v>
      </c>
      <c r="D406" s="6" t="s">
        <v>1706</v>
      </c>
      <c r="E406" s="6" t="s">
        <v>263</v>
      </c>
      <c r="F406" s="6" t="s">
        <v>730</v>
      </c>
      <c r="G406" s="6" t="s">
        <v>266</v>
      </c>
      <c r="H406" s="6"/>
      <c r="I406" s="26" t="n">
        <v>1</v>
      </c>
      <c r="J406" s="26" t="n">
        <f aca="false">COUNTIFS('Control Library'!$A$5:$A$50,"AI-CTRL-012",'Control Library'!$R$5:$R$50,"Implemented")</f>
        <v>0</v>
      </c>
      <c r="K406" s="43" t="str">
        <f aca="false">IF(I406=0,"No wiki control",IF(J406=I406,"Fully covered",IF(J406=0,"Not covered","Partly covered")))</f>
        <v>Not covered</v>
      </c>
      <c r="L406" s="9" t="s">
        <v>1703</v>
      </c>
    </row>
    <row r="407" customFormat="false" ht="23.85" hidden="false" customHeight="false" outlineLevel="0" collapsed="false">
      <c r="A407" s="51" t="s">
        <v>586</v>
      </c>
      <c r="B407" s="51" t="s">
        <v>584</v>
      </c>
      <c r="C407" s="5" t="s">
        <v>1614</v>
      </c>
      <c r="D407" s="6" t="s">
        <v>1707</v>
      </c>
      <c r="E407" s="6" t="s">
        <v>522</v>
      </c>
      <c r="F407" s="6" t="s">
        <v>730</v>
      </c>
      <c r="G407" s="6" t="s">
        <v>525</v>
      </c>
      <c r="H407" s="6"/>
      <c r="I407" s="26" t="n">
        <v>1</v>
      </c>
      <c r="J407" s="26" t="n">
        <f aca="false">COUNTIFS('Control Library'!$A$5:$A$50,"AI-CTRL-043",'Control Library'!$R$5:$R$50,"Implemented")</f>
        <v>0</v>
      </c>
      <c r="K407" s="43" t="str">
        <f aca="false">IF(I407=0,"No wiki control",IF(J407=I407,"Fully covered",IF(J407=0,"Not covered","Partly covered")))</f>
        <v>Not covered</v>
      </c>
      <c r="L407" s="9" t="s">
        <v>1703</v>
      </c>
    </row>
    <row r="408" customFormat="false" ht="23.85" hidden="false" customHeight="false" outlineLevel="0" collapsed="false">
      <c r="A408" s="51" t="s">
        <v>586</v>
      </c>
      <c r="B408" s="51" t="s">
        <v>584</v>
      </c>
      <c r="C408" s="5" t="s">
        <v>1708</v>
      </c>
      <c r="D408" s="6" t="s">
        <v>1709</v>
      </c>
      <c r="E408" s="6" t="s">
        <v>522</v>
      </c>
      <c r="F408" s="6" t="s">
        <v>730</v>
      </c>
      <c r="G408" s="6" t="s">
        <v>525</v>
      </c>
      <c r="H408" s="6"/>
      <c r="I408" s="26" t="n">
        <v>1</v>
      </c>
      <c r="J408" s="26" t="n">
        <f aca="false">COUNTIFS('Control Library'!$A$5:$A$50,"AI-CTRL-043",'Control Library'!$R$5:$R$50,"Implemented")</f>
        <v>0</v>
      </c>
      <c r="K408" s="43" t="str">
        <f aca="false">IF(I408=0,"No wiki control",IF(J408=I408,"Fully covered",IF(J408=0,"Not covered","Partly covered")))</f>
        <v>Not covered</v>
      </c>
      <c r="L408" s="9" t="s">
        <v>1703</v>
      </c>
    </row>
    <row r="409" customFormat="false" ht="23.85" hidden="false" customHeight="false" outlineLevel="0" collapsed="false">
      <c r="A409" s="51" t="s">
        <v>586</v>
      </c>
      <c r="B409" s="51" t="s">
        <v>584</v>
      </c>
      <c r="C409" s="5" t="s">
        <v>1710</v>
      </c>
      <c r="D409" s="6" t="s">
        <v>1711</v>
      </c>
      <c r="E409" s="6" t="s">
        <v>444</v>
      </c>
      <c r="F409" s="6" t="s">
        <v>730</v>
      </c>
      <c r="G409" s="6" t="s">
        <v>447</v>
      </c>
      <c r="H409" s="6"/>
      <c r="I409" s="26" t="n">
        <v>1</v>
      </c>
      <c r="J409" s="26" t="n">
        <f aca="false">COUNTIFS('Control Library'!$A$5:$A$50,"AI-CTRL-034",'Control Library'!$R$5:$R$50,"Implemented")</f>
        <v>0</v>
      </c>
      <c r="K409" s="43" t="str">
        <f aca="false">IF(I409=0,"No wiki control",IF(J409=I409,"Fully covered",IF(J409=0,"Not covered","Partly covered")))</f>
        <v>Not covered</v>
      </c>
      <c r="L409" s="9" t="s">
        <v>1703</v>
      </c>
    </row>
    <row r="410" customFormat="false" ht="46.25" hidden="false" customHeight="false" outlineLevel="0" collapsed="false">
      <c r="A410" s="51" t="s">
        <v>586</v>
      </c>
      <c r="B410" s="51" t="s">
        <v>584</v>
      </c>
      <c r="C410" s="5" t="s">
        <v>1712</v>
      </c>
      <c r="D410" s="6" t="s">
        <v>1713</v>
      </c>
      <c r="E410" s="6" t="s">
        <v>1714</v>
      </c>
      <c r="F410" s="6" t="s">
        <v>730</v>
      </c>
      <c r="G410" s="6" t="s">
        <v>1715</v>
      </c>
      <c r="H410" s="6"/>
      <c r="I410" s="26" t="n">
        <v>3</v>
      </c>
      <c r="J410" s="26" t="n">
        <f aca="false">COUNTIFS('Control Library'!$A$5:$A$50,"AI-CTRL-011",'Control Library'!$R$5:$R$50,"Implemented")+COUNTIFS('Control Library'!$A$5:$A$50,"AI-CTRL-033",'Control Library'!$R$5:$R$50,"Implemented")+COUNTIFS('Control Library'!$A$5:$A$50,"AI-CTRL-042",'Control Library'!$R$5:$R$50,"Implemented")</f>
        <v>0</v>
      </c>
      <c r="K410" s="43" t="str">
        <f aca="false">IF(I410=0,"No wiki control",IF(J410=I410,"Fully covered",IF(J410=0,"Not covered","Partly covered")))</f>
        <v>Not covered</v>
      </c>
      <c r="L410" s="9" t="s">
        <v>1703</v>
      </c>
    </row>
    <row r="411" customFormat="false" ht="23.85" hidden="false" customHeight="false" outlineLevel="0" collapsed="false">
      <c r="A411" s="51" t="s">
        <v>586</v>
      </c>
      <c r="B411" s="51" t="s">
        <v>584</v>
      </c>
      <c r="C411" s="5" t="s">
        <v>1716</v>
      </c>
      <c r="D411" s="6" t="s">
        <v>1717</v>
      </c>
      <c r="E411" s="6" t="s">
        <v>1718</v>
      </c>
      <c r="F411" s="6" t="s">
        <v>730</v>
      </c>
      <c r="G411" s="6" t="s">
        <v>1719</v>
      </c>
      <c r="H411" s="6"/>
      <c r="I411" s="26" t="n">
        <v>4</v>
      </c>
      <c r="J411" s="26" t="n">
        <f aca="false">COUNTIFS('Control Library'!$A$5:$A$50,"AI-CTRL-001",'Control Library'!$R$5:$R$50,"Implemented")+COUNTIFS('Control Library'!$A$5:$A$50,"AI-CTRL-011",'Control Library'!$R$5:$R$50,"Implemented")+COUNTIFS('Control Library'!$A$5:$A$50,"AI-CTRL-029",'Control Library'!$R$5:$R$50,"Implemented")+COUNTIFS('Control Library'!$A$5:$A$50,"AI-CTRL-031",'Control Library'!$R$5:$R$50,"Implemented")</f>
        <v>0</v>
      </c>
      <c r="K411" s="43" t="str">
        <f aca="false">IF(I411=0,"No wiki control",IF(J411=I411,"Fully covered",IF(J411=0,"Not covered","Partly covered")))</f>
        <v>Not covered</v>
      </c>
      <c r="L411" s="9" t="s">
        <v>1703</v>
      </c>
    </row>
    <row r="412" customFormat="false" ht="23.85" hidden="false" customHeight="false" outlineLevel="0" collapsed="false">
      <c r="A412" s="51" t="s">
        <v>586</v>
      </c>
      <c r="B412" s="51" t="s">
        <v>584</v>
      </c>
      <c r="C412" s="5" t="s">
        <v>1720</v>
      </c>
      <c r="D412" s="6" t="s">
        <v>1721</v>
      </c>
      <c r="E412" s="6" t="s">
        <v>1722</v>
      </c>
      <c r="F412" s="6" t="s">
        <v>730</v>
      </c>
      <c r="G412" s="6" t="s">
        <v>1012</v>
      </c>
      <c r="H412" s="6"/>
      <c r="I412" s="26" t="n">
        <v>3</v>
      </c>
      <c r="J412" s="26" t="n">
        <f aca="false">COUNTIFS('Control Library'!$A$5:$A$50,"AI-CTRL-003",'Control Library'!$R$5:$R$50,"Implemented")+COUNTIFS('Control Library'!$A$5:$A$50,"AI-CTRL-010",'Control Library'!$R$5:$R$50,"Implemented")+COUNTIFS('Control Library'!$A$5:$A$50,"AI-CTRL-012",'Control Library'!$R$5:$R$50,"Implemented")</f>
        <v>0</v>
      </c>
      <c r="K412" s="43" t="str">
        <f aca="false">IF(I412=0,"No wiki control",IF(J412=I412,"Fully covered",IF(J412=0,"Not covered","Partly covered")))</f>
        <v>Not covered</v>
      </c>
      <c r="L412" s="9" t="s">
        <v>1703</v>
      </c>
    </row>
    <row r="413" customFormat="false" ht="23.85" hidden="false" customHeight="false" outlineLevel="0" collapsed="false">
      <c r="A413" s="51" t="s">
        <v>586</v>
      </c>
      <c r="B413" s="51" t="s">
        <v>584</v>
      </c>
      <c r="C413" s="5" t="s">
        <v>1723</v>
      </c>
      <c r="D413" s="6" t="s">
        <v>1724</v>
      </c>
      <c r="E413" s="6" t="s">
        <v>282</v>
      </c>
      <c r="F413" s="6" t="s">
        <v>730</v>
      </c>
      <c r="G413" s="6" t="s">
        <v>286</v>
      </c>
      <c r="H413" s="6"/>
      <c r="I413" s="26" t="n">
        <v>1</v>
      </c>
      <c r="J413" s="26" t="n">
        <f aca="false">COUNTIFS('Control Library'!$A$5:$A$50,"AI-CTRL-014",'Control Library'!$R$5:$R$50,"Implemented")</f>
        <v>0</v>
      </c>
      <c r="K413" s="43" t="str">
        <f aca="false">IF(I413=0,"No wiki control",IF(J413=I413,"Fully covered",IF(J413=0,"Not covered","Partly covered")))</f>
        <v>Not covered</v>
      </c>
      <c r="L413" s="9" t="s">
        <v>1703</v>
      </c>
    </row>
    <row r="414" customFormat="false" ht="23.85" hidden="false" customHeight="false" outlineLevel="0" collapsed="false">
      <c r="A414" s="51" t="s">
        <v>586</v>
      </c>
      <c r="B414" s="51" t="s">
        <v>584</v>
      </c>
      <c r="C414" s="5" t="s">
        <v>1725</v>
      </c>
      <c r="D414" s="6" t="s">
        <v>1726</v>
      </c>
      <c r="E414" s="6" t="s">
        <v>1727</v>
      </c>
      <c r="F414" s="6" t="s">
        <v>730</v>
      </c>
      <c r="G414" s="6" t="s">
        <v>1728</v>
      </c>
      <c r="H414" s="6"/>
      <c r="I414" s="26" t="n">
        <v>4</v>
      </c>
      <c r="J414" s="26" t="n">
        <f aca="false">COUNTIFS('Control Library'!$A$5:$A$50,"AI-CTRL-002",'Control Library'!$R$5:$R$50,"Implemented")+COUNTIFS('Control Library'!$A$5:$A$50,"AI-CTRL-010",'Control Library'!$R$5:$R$50,"Implemented")+COUNTIFS('Control Library'!$A$5:$A$50,"AI-CTRL-011",'Control Library'!$R$5:$R$50,"Implemented")+COUNTIFS('Control Library'!$A$5:$A$50,"AI-CTRL-017",'Control Library'!$R$5:$R$50,"Implemented")</f>
        <v>0</v>
      </c>
      <c r="K414" s="43" t="str">
        <f aca="false">IF(I414=0,"No wiki control",IF(J414=I414,"Fully covered",IF(J414=0,"Not covered","Partly covered")))</f>
        <v>Not covered</v>
      </c>
      <c r="L414" s="9" t="s">
        <v>1703</v>
      </c>
    </row>
    <row r="415" customFormat="false" ht="23.85" hidden="false" customHeight="false" outlineLevel="0" collapsed="false">
      <c r="A415" s="51" t="s">
        <v>586</v>
      </c>
      <c r="B415" s="51" t="s">
        <v>584</v>
      </c>
      <c r="C415" s="5" t="s">
        <v>1729</v>
      </c>
      <c r="D415" s="6" t="s">
        <v>1730</v>
      </c>
      <c r="E415" s="6" t="s">
        <v>307</v>
      </c>
      <c r="F415" s="6" t="s">
        <v>730</v>
      </c>
      <c r="G415" s="6" t="s">
        <v>310</v>
      </c>
      <c r="H415" s="6"/>
      <c r="I415" s="26" t="n">
        <v>1</v>
      </c>
      <c r="J415" s="26" t="n">
        <f aca="false">COUNTIFS('Control Library'!$A$5:$A$50,"AI-CTRL-017",'Control Library'!$R$5:$R$50,"Implemented")</f>
        <v>0</v>
      </c>
      <c r="K415" s="43" t="str">
        <f aca="false">IF(I415=0,"No wiki control",IF(J415=I415,"Fully covered",IF(J415=0,"Not covered","Partly covered")))</f>
        <v>Not covered</v>
      </c>
      <c r="L415" s="9" t="s">
        <v>1703</v>
      </c>
    </row>
    <row r="416" customFormat="false" ht="23.85" hidden="false" customHeight="false" outlineLevel="0" collapsed="false">
      <c r="A416" s="51" t="s">
        <v>586</v>
      </c>
      <c r="B416" s="51" t="s">
        <v>584</v>
      </c>
      <c r="C416" s="5" t="s">
        <v>1731</v>
      </c>
      <c r="D416" s="6" t="s">
        <v>1732</v>
      </c>
      <c r="E416" s="6" t="s">
        <v>1733</v>
      </c>
      <c r="F416" s="6" t="s">
        <v>730</v>
      </c>
      <c r="G416" s="6" t="s">
        <v>1734</v>
      </c>
      <c r="H416" s="6"/>
      <c r="I416" s="26" t="n">
        <v>2</v>
      </c>
      <c r="J416" s="26" t="n">
        <f aca="false">COUNTIFS('Control Library'!$A$5:$A$50,"AI-CTRL-003",'Control Library'!$R$5:$R$50,"Implemented")+COUNTIFS('Control Library'!$A$5:$A$50,"AI-CTRL-007",'Control Library'!$R$5:$R$50,"Implemented")</f>
        <v>0</v>
      </c>
      <c r="K416" s="43" t="str">
        <f aca="false">IF(I416=0,"No wiki control",IF(J416=I416,"Fully covered",IF(J416=0,"Not covered","Partly covered")))</f>
        <v>Not covered</v>
      </c>
      <c r="L416" s="9" t="s">
        <v>1703</v>
      </c>
    </row>
    <row r="417" customFormat="false" ht="23.85" hidden="false" customHeight="false" outlineLevel="0" collapsed="false">
      <c r="A417" s="51" t="s">
        <v>586</v>
      </c>
      <c r="B417" s="51" t="s">
        <v>584</v>
      </c>
      <c r="C417" s="5" t="s">
        <v>1735</v>
      </c>
      <c r="D417" s="6" t="s">
        <v>1736</v>
      </c>
      <c r="E417" s="6" t="s">
        <v>1737</v>
      </c>
      <c r="F417" s="6" t="s">
        <v>730</v>
      </c>
      <c r="G417" s="6" t="s">
        <v>1738</v>
      </c>
      <c r="H417" s="6"/>
      <c r="I417" s="26" t="n">
        <v>5</v>
      </c>
      <c r="J417" s="26" t="n">
        <f aca="false">COUNTIFS('Control Library'!$A$5:$A$50,"AI-CTRL-006",'Control Library'!$R$5:$R$50,"Implemented")+COUNTIFS('Control Library'!$A$5:$A$50,"AI-CTRL-016",'Control Library'!$R$5:$R$50,"Implemented")+COUNTIFS('Control Library'!$A$5:$A$50,"AI-CTRL-018",'Control Library'!$R$5:$R$50,"Implemented")+COUNTIFS('Control Library'!$A$5:$A$50,"AI-CTRL-022",'Control Library'!$R$5:$R$50,"Implemented")+COUNTIFS('Control Library'!$A$5:$A$50,"AI-CTRL-028",'Control Library'!$R$5:$R$50,"Implemented")</f>
        <v>0</v>
      </c>
      <c r="K417" s="43" t="str">
        <f aca="false">IF(I417=0,"No wiki control",IF(J417=I417,"Fully covered",IF(J417=0,"Not covered","Partly covered")))</f>
        <v>Not covered</v>
      </c>
      <c r="L417" s="9" t="s">
        <v>1703</v>
      </c>
    </row>
    <row r="418" customFormat="false" ht="23.85" hidden="false" customHeight="false" outlineLevel="0" collapsed="false">
      <c r="A418" s="51" t="s">
        <v>586</v>
      </c>
      <c r="B418" s="51" t="s">
        <v>584</v>
      </c>
      <c r="C418" s="5" t="s">
        <v>1739</v>
      </c>
      <c r="D418" s="6" t="s">
        <v>1740</v>
      </c>
      <c r="E418" s="6" t="s">
        <v>291</v>
      </c>
      <c r="F418" s="6" t="s">
        <v>730</v>
      </c>
      <c r="G418" s="6" t="s">
        <v>295</v>
      </c>
      <c r="H418" s="6"/>
      <c r="I418" s="26" t="n">
        <v>1</v>
      </c>
      <c r="J418" s="26" t="n">
        <f aca="false">COUNTIFS('Control Library'!$A$5:$A$50,"AI-CTRL-015",'Control Library'!$R$5:$R$50,"Implemented")</f>
        <v>0</v>
      </c>
      <c r="K418" s="43" t="str">
        <f aca="false">IF(I418=0,"No wiki control",IF(J418=I418,"Fully covered",IF(J418=0,"Not covered","Partly covered")))</f>
        <v>Not covered</v>
      </c>
      <c r="L418" s="9" t="s">
        <v>1703</v>
      </c>
    </row>
    <row r="419" customFormat="false" ht="23.85" hidden="false" customHeight="false" outlineLevel="0" collapsed="false">
      <c r="A419" s="51" t="s">
        <v>586</v>
      </c>
      <c r="B419" s="51" t="s">
        <v>584</v>
      </c>
      <c r="C419" s="5" t="s">
        <v>1741</v>
      </c>
      <c r="D419" s="6" t="s">
        <v>1742</v>
      </c>
      <c r="E419" s="6" t="s">
        <v>291</v>
      </c>
      <c r="F419" s="6" t="s">
        <v>730</v>
      </c>
      <c r="G419" s="6" t="s">
        <v>295</v>
      </c>
      <c r="H419" s="6"/>
      <c r="I419" s="26" t="n">
        <v>1</v>
      </c>
      <c r="J419" s="26" t="n">
        <f aca="false">COUNTIFS('Control Library'!$A$5:$A$50,"AI-CTRL-015",'Control Library'!$R$5:$R$50,"Implemented")</f>
        <v>0</v>
      </c>
      <c r="K419" s="43" t="str">
        <f aca="false">IF(I419=0,"No wiki control",IF(J419=I419,"Fully covered",IF(J419=0,"Not covered","Partly covered")))</f>
        <v>Not covered</v>
      </c>
      <c r="L419" s="9" t="s">
        <v>1703</v>
      </c>
    </row>
    <row r="420" customFormat="false" ht="35.05" hidden="false" customHeight="false" outlineLevel="0" collapsed="false">
      <c r="A420" s="51" t="s">
        <v>586</v>
      </c>
      <c r="B420" s="51" t="s">
        <v>584</v>
      </c>
      <c r="C420" s="5" t="s">
        <v>1743</v>
      </c>
      <c r="D420" s="6" t="s">
        <v>1744</v>
      </c>
      <c r="E420" s="6" t="s">
        <v>1745</v>
      </c>
      <c r="F420" s="6" t="s">
        <v>730</v>
      </c>
      <c r="G420" s="6" t="s">
        <v>1746</v>
      </c>
      <c r="H420" s="6"/>
      <c r="I420" s="26" t="n">
        <v>2</v>
      </c>
      <c r="J420" s="26" t="n">
        <f aca="false">COUNTIFS('Control Library'!$A$5:$A$50,"AI-CTRL-016",'Control Library'!$R$5:$R$50,"Implemented")+COUNTIFS('Control Library'!$A$5:$A$50,"AI-CTRL-025",'Control Library'!$R$5:$R$50,"Implemented")</f>
        <v>0</v>
      </c>
      <c r="K420" s="43" t="str">
        <f aca="false">IF(I420=0,"No wiki control",IF(J420=I420,"Fully covered",IF(J420=0,"Not covered","Partly covered")))</f>
        <v>Not covered</v>
      </c>
      <c r="L420" s="9" t="s">
        <v>1703</v>
      </c>
    </row>
    <row r="421" customFormat="false" ht="23.85" hidden="false" customHeight="false" outlineLevel="0" collapsed="false">
      <c r="A421" s="51" t="s">
        <v>586</v>
      </c>
      <c r="B421" s="51" t="s">
        <v>584</v>
      </c>
      <c r="C421" s="5" t="s">
        <v>1747</v>
      </c>
      <c r="D421" s="6" t="s">
        <v>1748</v>
      </c>
      <c r="E421" s="6" t="s">
        <v>1749</v>
      </c>
      <c r="F421" s="6" t="s">
        <v>730</v>
      </c>
      <c r="G421" s="6" t="s">
        <v>1060</v>
      </c>
      <c r="H421" s="6"/>
      <c r="I421" s="26" t="n">
        <v>2</v>
      </c>
      <c r="J421" s="26" t="n">
        <f aca="false">COUNTIFS('Control Library'!$A$5:$A$50,"AI-CTRL-014",'Control Library'!$R$5:$R$50,"Implemented")+COUNTIFS('Control Library'!$A$5:$A$50,"AI-CTRL-024",'Control Library'!$R$5:$R$50,"Implemented")</f>
        <v>0</v>
      </c>
      <c r="K421" s="43" t="str">
        <f aca="false">IF(I421=0,"No wiki control",IF(J421=I421,"Fully covered",IF(J421=0,"Not covered","Partly covered")))</f>
        <v>Not covered</v>
      </c>
      <c r="L421" s="9" t="s">
        <v>1703</v>
      </c>
    </row>
    <row r="422" customFormat="false" ht="23.85" hidden="false" customHeight="false" outlineLevel="0" collapsed="false">
      <c r="A422" s="51" t="s">
        <v>586</v>
      </c>
      <c r="B422" s="51" t="s">
        <v>584</v>
      </c>
      <c r="C422" s="5" t="s">
        <v>1750</v>
      </c>
      <c r="D422" s="6" t="s">
        <v>1751</v>
      </c>
      <c r="E422" s="6" t="s">
        <v>1752</v>
      </c>
      <c r="F422" s="6" t="s">
        <v>730</v>
      </c>
      <c r="G422" s="6" t="s">
        <v>1753</v>
      </c>
      <c r="H422" s="6"/>
      <c r="I422" s="26" t="n">
        <v>2</v>
      </c>
      <c r="J422" s="26" t="n">
        <f aca="false">COUNTIFS('Control Library'!$A$5:$A$50,"AI-CTRL-014",'Control Library'!$R$5:$R$50,"Implemented")+COUNTIFS('Control Library'!$A$5:$A$50,"AI-CTRL-046",'Control Library'!$R$5:$R$50,"Implemented")</f>
        <v>0</v>
      </c>
      <c r="K422" s="43" t="str">
        <f aca="false">IF(I422=0,"No wiki control",IF(J422=I422,"Fully covered",IF(J422=0,"Not covered","Partly covered")))</f>
        <v>Not covered</v>
      </c>
      <c r="L422" s="9" t="s">
        <v>1703</v>
      </c>
    </row>
    <row r="423" customFormat="false" ht="23.85" hidden="false" customHeight="false" outlineLevel="0" collapsed="false">
      <c r="A423" s="51" t="s">
        <v>586</v>
      </c>
      <c r="B423" s="51" t="s">
        <v>584</v>
      </c>
      <c r="C423" s="5" t="s">
        <v>1754</v>
      </c>
      <c r="D423" s="6" t="s">
        <v>1755</v>
      </c>
      <c r="E423" s="6" t="s">
        <v>1756</v>
      </c>
      <c r="F423" s="6" t="s">
        <v>730</v>
      </c>
      <c r="G423" s="6" t="s">
        <v>1060</v>
      </c>
      <c r="H423" s="6"/>
      <c r="I423" s="26" t="n">
        <v>4</v>
      </c>
      <c r="J423" s="26" t="n">
        <f aca="false">COUNTIFS('Control Library'!$A$5:$A$50,"AI-CTRL-014",'Control Library'!$R$5:$R$50,"Implemented")+COUNTIFS('Control Library'!$A$5:$A$50,"AI-CTRL-024",'Control Library'!$R$5:$R$50,"Implemented")+COUNTIFS('Control Library'!$A$5:$A$50,"AI-CTRL-029",'Control Library'!$R$5:$R$50,"Implemented")+COUNTIFS('Control Library'!$A$5:$A$50,"AI-CTRL-031",'Control Library'!$R$5:$R$50,"Implemented")</f>
        <v>0</v>
      </c>
      <c r="K423" s="43" t="str">
        <f aca="false">IF(I423=0,"No wiki control",IF(J423=I423,"Fully covered",IF(J423=0,"Not covered","Partly covered")))</f>
        <v>Not covered</v>
      </c>
      <c r="L423" s="9" t="s">
        <v>1703</v>
      </c>
    </row>
    <row r="424" customFormat="false" ht="23.85" hidden="false" customHeight="false" outlineLevel="0" collapsed="false">
      <c r="A424" s="51" t="s">
        <v>586</v>
      </c>
      <c r="B424" s="51" t="s">
        <v>584</v>
      </c>
      <c r="C424" s="5" t="s">
        <v>1757</v>
      </c>
      <c r="D424" s="6" t="s">
        <v>1758</v>
      </c>
      <c r="E424" s="6" t="s">
        <v>282</v>
      </c>
      <c r="F424" s="6" t="s">
        <v>730</v>
      </c>
      <c r="G424" s="6" t="s">
        <v>286</v>
      </c>
      <c r="H424" s="6"/>
      <c r="I424" s="26" t="n">
        <v>1</v>
      </c>
      <c r="J424" s="26" t="n">
        <f aca="false">COUNTIFS('Control Library'!$A$5:$A$50,"AI-CTRL-014",'Control Library'!$R$5:$R$50,"Implemented")</f>
        <v>0</v>
      </c>
      <c r="K424" s="43" t="str">
        <f aca="false">IF(I424=0,"No wiki control",IF(J424=I424,"Fully covered",IF(J424=0,"Not covered","Partly covered")))</f>
        <v>Not covered</v>
      </c>
      <c r="L424" s="9" t="s">
        <v>1703</v>
      </c>
    </row>
    <row r="425" customFormat="false" ht="23.85" hidden="false" customHeight="false" outlineLevel="0" collapsed="false">
      <c r="A425" s="51" t="s">
        <v>586</v>
      </c>
      <c r="B425" s="51" t="s">
        <v>584</v>
      </c>
      <c r="C425" s="5" t="s">
        <v>1759</v>
      </c>
      <c r="D425" s="6" t="s">
        <v>1760</v>
      </c>
      <c r="E425" s="6" t="s">
        <v>1761</v>
      </c>
      <c r="F425" s="6" t="s">
        <v>730</v>
      </c>
      <c r="G425" s="6" t="s">
        <v>286</v>
      </c>
      <c r="H425" s="6"/>
      <c r="I425" s="26" t="n">
        <v>3</v>
      </c>
      <c r="J425" s="26" t="n">
        <f aca="false">COUNTIFS('Control Library'!$A$5:$A$50,"AI-CTRL-007",'Control Library'!$R$5:$R$50,"Implemented")+COUNTIFS('Control Library'!$A$5:$A$50,"AI-CTRL-014",'Control Library'!$R$5:$R$50,"Implemented")+COUNTIFS('Control Library'!$A$5:$A$50,"AI-CTRL-032",'Control Library'!$R$5:$R$50,"Implemented")</f>
        <v>0</v>
      </c>
      <c r="K425" s="43" t="str">
        <f aca="false">IF(I425=0,"No wiki control",IF(J425=I425,"Fully covered",IF(J425=0,"Not covered","Partly covered")))</f>
        <v>Not covered</v>
      </c>
      <c r="L425" s="9" t="s">
        <v>1703</v>
      </c>
    </row>
    <row r="426" customFormat="false" ht="23.85" hidden="false" customHeight="false" outlineLevel="0" collapsed="false">
      <c r="A426" s="51" t="s">
        <v>586</v>
      </c>
      <c r="B426" s="51" t="s">
        <v>584</v>
      </c>
      <c r="C426" s="5" t="s">
        <v>1762</v>
      </c>
      <c r="D426" s="6" t="s">
        <v>1763</v>
      </c>
      <c r="E426" s="6" t="s">
        <v>453</v>
      </c>
      <c r="F426" s="6" t="s">
        <v>730</v>
      </c>
      <c r="G426" s="6" t="s">
        <v>456</v>
      </c>
      <c r="H426" s="6"/>
      <c r="I426" s="26" t="n">
        <v>1</v>
      </c>
      <c r="J426" s="26" t="n">
        <f aca="false">COUNTIFS('Control Library'!$A$5:$A$50,"AI-CTRL-035",'Control Library'!$R$5:$R$50,"Implemented")</f>
        <v>0</v>
      </c>
      <c r="K426" s="43" t="str">
        <f aca="false">IF(I426=0,"No wiki control",IF(J426=I426,"Fully covered",IF(J426=0,"Not covered","Partly covered")))</f>
        <v>Not covered</v>
      </c>
      <c r="L426" s="9" t="s">
        <v>1703</v>
      </c>
    </row>
    <row r="427" customFormat="false" ht="23.85" hidden="false" customHeight="false" outlineLevel="0" collapsed="false">
      <c r="A427" s="51" t="s">
        <v>586</v>
      </c>
      <c r="B427" s="51" t="s">
        <v>584</v>
      </c>
      <c r="C427" s="5" t="s">
        <v>1764</v>
      </c>
      <c r="D427" s="6" t="s">
        <v>1765</v>
      </c>
      <c r="E427" s="6" t="s">
        <v>1766</v>
      </c>
      <c r="F427" s="6" t="s">
        <v>730</v>
      </c>
      <c r="G427" s="6" t="s">
        <v>456</v>
      </c>
      <c r="H427" s="6"/>
      <c r="I427" s="26" t="n">
        <v>2</v>
      </c>
      <c r="J427" s="26" t="n">
        <f aca="false">COUNTIFS('Control Library'!$A$5:$A$50,"AI-CTRL-009",'Control Library'!$R$5:$R$50,"Implemented")+COUNTIFS('Control Library'!$A$5:$A$50,"AI-CTRL-035",'Control Library'!$R$5:$R$50,"Implemented")</f>
        <v>0</v>
      </c>
      <c r="K427" s="43" t="str">
        <f aca="false">IF(I427=0,"No wiki control",IF(J427=I427,"Fully covered",IF(J427=0,"Not covered","Partly covered")))</f>
        <v>Not covered</v>
      </c>
      <c r="L427" s="9" t="s">
        <v>1703</v>
      </c>
    </row>
    <row r="428" customFormat="false" ht="23.85" hidden="false" customHeight="false" outlineLevel="0" collapsed="false">
      <c r="A428" s="51" t="s">
        <v>586</v>
      </c>
      <c r="B428" s="51" t="s">
        <v>584</v>
      </c>
      <c r="C428" s="5" t="s">
        <v>1767</v>
      </c>
      <c r="D428" s="6" t="s">
        <v>1768</v>
      </c>
      <c r="E428" s="6" t="s">
        <v>1769</v>
      </c>
      <c r="F428" s="6" t="s">
        <v>730</v>
      </c>
      <c r="G428" s="6" t="s">
        <v>1770</v>
      </c>
      <c r="H428" s="6"/>
      <c r="I428" s="26" t="n">
        <v>2</v>
      </c>
      <c r="J428" s="26" t="n">
        <f aca="false">COUNTIFS('Control Library'!$A$5:$A$50,"AI-CTRL-025",'Control Library'!$R$5:$R$50,"Implemented")+COUNTIFS('Control Library'!$A$5:$A$50,"AI-CTRL-035",'Control Library'!$R$5:$R$50,"Implemented")</f>
        <v>0</v>
      </c>
      <c r="K428" s="43" t="str">
        <f aca="false">IF(I428=0,"No wiki control",IF(J428=I428,"Fully covered",IF(J428=0,"Not covered","Partly covered")))</f>
        <v>Not covered</v>
      </c>
      <c r="L428" s="9" t="s">
        <v>1703</v>
      </c>
    </row>
    <row r="429" customFormat="false" ht="23.85" hidden="false" customHeight="false" outlineLevel="0" collapsed="false">
      <c r="A429" s="51" t="s">
        <v>586</v>
      </c>
      <c r="B429" s="51" t="s">
        <v>584</v>
      </c>
      <c r="C429" s="5" t="s">
        <v>1771</v>
      </c>
      <c r="D429" s="6" t="s">
        <v>1772</v>
      </c>
      <c r="E429" s="6" t="s">
        <v>453</v>
      </c>
      <c r="F429" s="6" t="s">
        <v>730</v>
      </c>
      <c r="G429" s="6" t="s">
        <v>456</v>
      </c>
      <c r="H429" s="6"/>
      <c r="I429" s="26" t="n">
        <v>1</v>
      </c>
      <c r="J429" s="26" t="n">
        <f aca="false">COUNTIFS('Control Library'!$A$5:$A$50,"AI-CTRL-035",'Control Library'!$R$5:$R$50,"Implemented")</f>
        <v>0</v>
      </c>
      <c r="K429" s="43" t="str">
        <f aca="false">IF(I429=0,"No wiki control",IF(J429=I429,"Fully covered",IF(J429=0,"Not covered","Partly covered")))</f>
        <v>Not covered</v>
      </c>
      <c r="L429" s="9" t="s">
        <v>1703</v>
      </c>
    </row>
    <row r="430" customFormat="false" ht="23.85" hidden="false" customHeight="false" outlineLevel="0" collapsed="false">
      <c r="A430" s="51" t="s">
        <v>586</v>
      </c>
      <c r="B430" s="51" t="s">
        <v>584</v>
      </c>
      <c r="C430" s="5" t="s">
        <v>1773</v>
      </c>
      <c r="D430" s="6" t="s">
        <v>1774</v>
      </c>
      <c r="E430" s="6" t="s">
        <v>1775</v>
      </c>
      <c r="F430" s="6" t="s">
        <v>730</v>
      </c>
      <c r="G430" s="6" t="s">
        <v>1776</v>
      </c>
      <c r="H430" s="6"/>
      <c r="I430" s="26" t="n">
        <v>2</v>
      </c>
      <c r="J430" s="26" t="n">
        <f aca="false">COUNTIFS('Control Library'!$A$5:$A$50,"AI-CTRL-008",'Control Library'!$R$5:$R$50,"Implemented")+COUNTIFS('Control Library'!$A$5:$A$50,"AI-CTRL-035",'Control Library'!$R$5:$R$50,"Implemented")</f>
        <v>0</v>
      </c>
      <c r="K430" s="43" t="str">
        <f aca="false">IF(I430=0,"No wiki control",IF(J430=I430,"Fully covered",IF(J430=0,"Not covered","Partly covered")))</f>
        <v>Not covered</v>
      </c>
      <c r="L430" s="9" t="s">
        <v>1703</v>
      </c>
    </row>
    <row r="431" customFormat="false" ht="23.85" hidden="false" customHeight="false" outlineLevel="0" collapsed="false">
      <c r="A431" s="51" t="s">
        <v>586</v>
      </c>
      <c r="B431" s="51" t="s">
        <v>584</v>
      </c>
      <c r="C431" s="5" t="s">
        <v>1777</v>
      </c>
      <c r="D431" s="6" t="s">
        <v>1778</v>
      </c>
      <c r="E431" s="6" t="s">
        <v>495</v>
      </c>
      <c r="F431" s="6" t="s">
        <v>730</v>
      </c>
      <c r="G431" s="6" t="s">
        <v>499</v>
      </c>
      <c r="H431" s="6"/>
      <c r="I431" s="26" t="n">
        <v>1</v>
      </c>
      <c r="J431" s="26" t="n">
        <f aca="false">COUNTIFS('Control Library'!$A$5:$A$50,"AI-CTRL-040",'Control Library'!$R$5:$R$50,"Implemented")</f>
        <v>0</v>
      </c>
      <c r="K431" s="43" t="str">
        <f aca="false">IF(I431=0,"No wiki control",IF(J431=I431,"Fully covered",IF(J431=0,"Not covered","Partly covered")))</f>
        <v>Not covered</v>
      </c>
      <c r="L431" s="9" t="s">
        <v>1703</v>
      </c>
    </row>
    <row r="432" customFormat="false" ht="23.85" hidden="false" customHeight="false" outlineLevel="0" collapsed="false">
      <c r="A432" s="51" t="s">
        <v>586</v>
      </c>
      <c r="B432" s="51" t="s">
        <v>584</v>
      </c>
      <c r="C432" s="5" t="s">
        <v>1779</v>
      </c>
      <c r="D432" s="6" t="s">
        <v>1780</v>
      </c>
      <c r="E432" s="6" t="s">
        <v>495</v>
      </c>
      <c r="F432" s="6" t="s">
        <v>730</v>
      </c>
      <c r="G432" s="6" t="s">
        <v>499</v>
      </c>
      <c r="H432" s="6"/>
      <c r="I432" s="26" t="n">
        <v>1</v>
      </c>
      <c r="J432" s="26" t="n">
        <f aca="false">COUNTIFS('Control Library'!$A$5:$A$50,"AI-CTRL-040",'Control Library'!$R$5:$R$50,"Implemented")</f>
        <v>0</v>
      </c>
      <c r="K432" s="43" t="str">
        <f aca="false">IF(I432=0,"No wiki control",IF(J432=I432,"Fully covered",IF(J432=0,"Not covered","Partly covered")))</f>
        <v>Not covered</v>
      </c>
      <c r="L432" s="9" t="s">
        <v>1703</v>
      </c>
    </row>
    <row r="433" customFormat="false" ht="23.85" hidden="false" customHeight="false" outlineLevel="0" collapsed="false">
      <c r="A433" s="51" t="s">
        <v>586</v>
      </c>
      <c r="B433" s="51" t="s">
        <v>584</v>
      </c>
      <c r="C433" s="5" t="s">
        <v>1781</v>
      </c>
      <c r="D433" s="6" t="s">
        <v>1782</v>
      </c>
      <c r="E433" s="6" t="s">
        <v>1783</v>
      </c>
      <c r="F433" s="6" t="s">
        <v>730</v>
      </c>
      <c r="G433" s="6" t="s">
        <v>1004</v>
      </c>
      <c r="H433" s="6"/>
      <c r="I433" s="26" t="n">
        <v>5</v>
      </c>
      <c r="J433" s="26" t="n">
        <f aca="false">COUNTIFS('Control Library'!$A$5:$A$50,"AI-CTRL-007",'Control Library'!$R$5:$R$50,"Implemented")+COUNTIFS('Control Library'!$A$5:$A$50,"AI-CTRL-013",'Control Library'!$R$5:$R$50,"Implemented")+COUNTIFS('Control Library'!$A$5:$A$50,"AI-CTRL-042",'Control Library'!$R$5:$R$50,"Implemented")+COUNTIFS('Control Library'!$A$5:$A$50,"AI-CTRL-043",'Control Library'!$R$5:$R$50,"Implemented")+COUNTIFS('Control Library'!$A$5:$A$50,"AI-CTRL-046",'Control Library'!$R$5:$R$50,"Implemented")</f>
        <v>0</v>
      </c>
      <c r="K433" s="43" t="str">
        <f aca="false">IF(I433=0,"No wiki control",IF(J433=I433,"Fully covered",IF(J433=0,"Not covered","Partly covered")))</f>
        <v>Not covered</v>
      </c>
      <c r="L433" s="9" t="s">
        <v>1703</v>
      </c>
    </row>
    <row r="434" customFormat="false" ht="23.85" hidden="false" customHeight="false" outlineLevel="0" collapsed="false">
      <c r="A434" s="51" t="s">
        <v>586</v>
      </c>
      <c r="B434" s="51" t="s">
        <v>584</v>
      </c>
      <c r="C434" s="5" t="s">
        <v>1784</v>
      </c>
      <c r="D434" s="6" t="s">
        <v>1785</v>
      </c>
      <c r="E434" s="6" t="s">
        <v>549</v>
      </c>
      <c r="F434" s="6" t="s">
        <v>730</v>
      </c>
      <c r="G434" s="6" t="s">
        <v>553</v>
      </c>
      <c r="H434" s="6"/>
      <c r="I434" s="26" t="n">
        <v>1</v>
      </c>
      <c r="J434" s="26" t="n">
        <f aca="false">COUNTIFS('Control Library'!$A$5:$A$50,"AI-CTRL-046",'Control Library'!$R$5:$R$50,"Implemented")</f>
        <v>0</v>
      </c>
      <c r="K434" s="43" t="str">
        <f aca="false">IF(I434=0,"No wiki control",IF(J434=I434,"Fully covered",IF(J434=0,"Not covered","Partly covered")))</f>
        <v>Not covered</v>
      </c>
      <c r="L434" s="9" t="s">
        <v>1703</v>
      </c>
    </row>
    <row r="435" customFormat="false" ht="23.85" hidden="false" customHeight="false" outlineLevel="0" collapsed="false">
      <c r="A435" s="51" t="s">
        <v>586</v>
      </c>
      <c r="B435" s="51" t="s">
        <v>584</v>
      </c>
      <c r="C435" s="5" t="s">
        <v>1786</v>
      </c>
      <c r="D435" s="6" t="s">
        <v>1787</v>
      </c>
      <c r="E435" s="6" t="s">
        <v>1788</v>
      </c>
      <c r="F435" s="6" t="s">
        <v>730</v>
      </c>
      <c r="G435" s="6" t="s">
        <v>1789</v>
      </c>
      <c r="H435" s="6"/>
      <c r="I435" s="26" t="n">
        <v>3</v>
      </c>
      <c r="J435" s="26" t="n">
        <f aca="false">COUNTIFS('Control Library'!$A$5:$A$50,"AI-CTRL-007",'Control Library'!$R$5:$R$50,"Implemented")+COUNTIFS('Control Library'!$A$5:$A$50,"AI-CTRL-008",'Control Library'!$R$5:$R$50,"Implemented")+COUNTIFS('Control Library'!$A$5:$A$50,"AI-CTRL-038",'Control Library'!$R$5:$R$50,"Implemented")</f>
        <v>0</v>
      </c>
      <c r="K435" s="43" t="str">
        <f aca="false">IF(I435=0,"No wiki control",IF(J435=I435,"Fully covered",IF(J435=0,"Not covered","Partly covered")))</f>
        <v>Not covered</v>
      </c>
      <c r="L435" s="9" t="s">
        <v>1703</v>
      </c>
    </row>
    <row r="436" customFormat="false" ht="23.85" hidden="false" customHeight="false" outlineLevel="0" collapsed="false">
      <c r="A436" s="51" t="s">
        <v>586</v>
      </c>
      <c r="B436" s="51" t="s">
        <v>584</v>
      </c>
      <c r="C436" s="5" t="s">
        <v>1790</v>
      </c>
      <c r="D436" s="6" t="s">
        <v>1791</v>
      </c>
      <c r="E436" s="6" t="s">
        <v>1610</v>
      </c>
      <c r="F436" s="6" t="s">
        <v>730</v>
      </c>
      <c r="G436" s="6" t="s">
        <v>1611</v>
      </c>
      <c r="H436" s="6"/>
      <c r="I436" s="26" t="n">
        <v>2</v>
      </c>
      <c r="J436" s="26" t="n">
        <f aca="false">COUNTIFS('Control Library'!$A$5:$A$50,"AI-CTRL-013",'Control Library'!$R$5:$R$50,"Implemented")+COUNTIFS('Control Library'!$A$5:$A$50,"AI-CTRL-042",'Control Library'!$R$5:$R$50,"Implemented")</f>
        <v>0</v>
      </c>
      <c r="K436" s="43" t="str">
        <f aca="false">IF(I436=0,"No wiki control",IF(J436=I436,"Fully covered",IF(J436=0,"Not covered","Partly covered")))</f>
        <v>Not covered</v>
      </c>
      <c r="L436" s="9" t="s">
        <v>1703</v>
      </c>
    </row>
    <row r="437" customFormat="false" ht="23.85" hidden="false" customHeight="false" outlineLevel="0" collapsed="false">
      <c r="A437" s="51" t="s">
        <v>586</v>
      </c>
      <c r="B437" s="51" t="s">
        <v>584</v>
      </c>
      <c r="C437" s="5" t="s">
        <v>1792</v>
      </c>
      <c r="D437" s="6" t="s">
        <v>1793</v>
      </c>
      <c r="E437" s="6" t="s">
        <v>478</v>
      </c>
      <c r="F437" s="6" t="s">
        <v>730</v>
      </c>
      <c r="G437" s="6" t="s">
        <v>481</v>
      </c>
      <c r="H437" s="6"/>
      <c r="I437" s="26" t="n">
        <v>1</v>
      </c>
      <c r="J437" s="26" t="n">
        <f aca="false">COUNTIFS('Control Library'!$A$5:$A$50,"AI-CTRL-038",'Control Library'!$R$5:$R$50,"Implemented")</f>
        <v>0</v>
      </c>
      <c r="K437" s="43" t="str">
        <f aca="false">IF(I437=0,"No wiki control",IF(J437=I437,"Fully covered",IF(J437=0,"Not covered","Partly covered")))</f>
        <v>Not covered</v>
      </c>
      <c r="L437" s="9" t="s">
        <v>1703</v>
      </c>
    </row>
    <row r="438" customFormat="false" ht="23.85" hidden="false" customHeight="false" outlineLevel="0" collapsed="false">
      <c r="A438" s="51" t="s">
        <v>586</v>
      </c>
      <c r="B438" s="51" t="s">
        <v>584</v>
      </c>
      <c r="C438" s="5" t="s">
        <v>1794</v>
      </c>
      <c r="D438" s="6" t="s">
        <v>1795</v>
      </c>
      <c r="E438" s="6" t="s">
        <v>478</v>
      </c>
      <c r="F438" s="6" t="s">
        <v>730</v>
      </c>
      <c r="G438" s="6" t="s">
        <v>481</v>
      </c>
      <c r="H438" s="6"/>
      <c r="I438" s="26" t="n">
        <v>1</v>
      </c>
      <c r="J438" s="26" t="n">
        <f aca="false">COUNTIFS('Control Library'!$A$5:$A$50,"AI-CTRL-038",'Control Library'!$R$5:$R$50,"Implemented")</f>
        <v>0</v>
      </c>
      <c r="K438" s="43" t="str">
        <f aca="false">IF(I438=0,"No wiki control",IF(J438=I438,"Fully covered",IF(J438=0,"Not covered","Partly covered")))</f>
        <v>Not covered</v>
      </c>
      <c r="L438" s="9" t="s">
        <v>1703</v>
      </c>
    </row>
    <row r="439" customFormat="false" ht="23.85" hidden="false" customHeight="false" outlineLevel="0" collapsed="false">
      <c r="A439" s="51" t="s">
        <v>586</v>
      </c>
      <c r="B439" s="51" t="s">
        <v>584</v>
      </c>
      <c r="C439" s="5" t="s">
        <v>1796</v>
      </c>
      <c r="D439" s="6" t="s">
        <v>1797</v>
      </c>
      <c r="E439" s="6" t="s">
        <v>1766</v>
      </c>
      <c r="F439" s="6" t="s">
        <v>730</v>
      </c>
      <c r="G439" s="6" t="s">
        <v>456</v>
      </c>
      <c r="H439" s="6"/>
      <c r="I439" s="26" t="n">
        <v>2</v>
      </c>
      <c r="J439" s="26" t="n">
        <f aca="false">COUNTIFS('Control Library'!$A$5:$A$50,"AI-CTRL-009",'Control Library'!$R$5:$R$50,"Implemented")+COUNTIFS('Control Library'!$A$5:$A$50,"AI-CTRL-035",'Control Library'!$R$5:$R$50,"Implemented")</f>
        <v>0</v>
      </c>
      <c r="K439" s="43" t="str">
        <f aca="false">IF(I439=0,"No wiki control",IF(J439=I439,"Fully covered",IF(J439=0,"Not covered","Partly covered")))</f>
        <v>Not covered</v>
      </c>
      <c r="L439" s="9" t="s">
        <v>1703</v>
      </c>
    </row>
    <row r="440" customFormat="false" ht="23.85" hidden="false" customHeight="false" outlineLevel="0" collapsed="false">
      <c r="A440" s="51" t="s">
        <v>586</v>
      </c>
      <c r="B440" s="51" t="s">
        <v>584</v>
      </c>
      <c r="C440" s="5" t="s">
        <v>1798</v>
      </c>
      <c r="D440" s="6"/>
      <c r="E440" s="6"/>
      <c r="F440" s="6" t="s">
        <v>640</v>
      </c>
      <c r="G440" s="6"/>
      <c r="H440" s="6"/>
      <c r="I440" s="26" t="n">
        <v>0</v>
      </c>
      <c r="J440" s="26" t="n">
        <f aca="false">0</f>
        <v>0</v>
      </c>
      <c r="K440" s="43" t="str">
        <f aca="false">IF(I440=0,"No wiki control",IF(J440=I440,"Fully covered",IF(J440=0,"Not covered","Partly covered")))</f>
        <v>No wiki control</v>
      </c>
      <c r="L440" s="9" t="s">
        <v>1703</v>
      </c>
    </row>
    <row r="441" customFormat="false" ht="23.85" hidden="false" customHeight="false" outlineLevel="0" collapsed="false">
      <c r="A441" s="51" t="s">
        <v>586</v>
      </c>
      <c r="B441" s="51" t="s">
        <v>584</v>
      </c>
      <c r="C441" s="5" t="s">
        <v>1799</v>
      </c>
      <c r="D441" s="6" t="s">
        <v>1800</v>
      </c>
      <c r="E441" s="6" t="s">
        <v>263</v>
      </c>
      <c r="F441" s="6" t="s">
        <v>730</v>
      </c>
      <c r="G441" s="6" t="s">
        <v>266</v>
      </c>
      <c r="H441" s="6"/>
      <c r="I441" s="26" t="n">
        <v>1</v>
      </c>
      <c r="J441" s="26" t="n">
        <f aca="false">COUNTIFS('Control Library'!$A$5:$A$50,"AI-CTRL-012",'Control Library'!$R$5:$R$50,"Implemented")</f>
        <v>0</v>
      </c>
      <c r="K441" s="43" t="str">
        <f aca="false">IF(I441=0,"No wiki control",IF(J441=I441,"Fully covered",IF(J441=0,"Not covered","Partly covered")))</f>
        <v>Not covered</v>
      </c>
      <c r="L441" s="9" t="s">
        <v>1703</v>
      </c>
    </row>
    <row r="442" customFormat="false" ht="23.85" hidden="false" customHeight="false" outlineLevel="0" collapsed="false">
      <c r="A442" s="51" t="s">
        <v>586</v>
      </c>
      <c r="B442" s="51" t="s">
        <v>584</v>
      </c>
      <c r="C442" s="5" t="s">
        <v>1801</v>
      </c>
      <c r="D442" s="6" t="s">
        <v>1802</v>
      </c>
      <c r="E442" s="6" t="s">
        <v>530</v>
      </c>
      <c r="F442" s="6" t="s">
        <v>730</v>
      </c>
      <c r="G442" s="6" t="s">
        <v>533</v>
      </c>
      <c r="H442" s="6"/>
      <c r="I442" s="26" t="n">
        <v>1</v>
      </c>
      <c r="J442" s="26" t="n">
        <f aca="false">COUNTIFS('Control Library'!$A$5:$A$50,"AI-CTRL-044",'Control Library'!$R$5:$R$50,"Implemented")</f>
        <v>0</v>
      </c>
      <c r="K442" s="43" t="str">
        <f aca="false">IF(I442=0,"No wiki control",IF(J442=I442,"Fully covered",IF(J442=0,"Not covered","Partly covered")))</f>
        <v>Not covered</v>
      </c>
      <c r="L442" s="9" t="s">
        <v>1703</v>
      </c>
    </row>
    <row r="443" customFormat="false" ht="23.85" hidden="false" customHeight="false" outlineLevel="0" collapsed="false">
      <c r="A443" s="51" t="s">
        <v>586</v>
      </c>
      <c r="B443" s="51" t="s">
        <v>584</v>
      </c>
      <c r="C443" s="5" t="s">
        <v>1803</v>
      </c>
      <c r="D443" s="6" t="s">
        <v>1804</v>
      </c>
      <c r="E443" s="6" t="s">
        <v>263</v>
      </c>
      <c r="F443" s="6" t="s">
        <v>730</v>
      </c>
      <c r="G443" s="6" t="s">
        <v>266</v>
      </c>
      <c r="H443" s="6"/>
      <c r="I443" s="26" t="n">
        <v>1</v>
      </c>
      <c r="J443" s="26" t="n">
        <f aca="false">COUNTIFS('Control Library'!$A$5:$A$50,"AI-CTRL-012",'Control Library'!$R$5:$R$50,"Implemented")</f>
        <v>0</v>
      </c>
      <c r="K443" s="43" t="str">
        <f aca="false">IF(I443=0,"No wiki control",IF(J443=I443,"Fully covered",IF(J443=0,"Not covered","Partly covered")))</f>
        <v>Not covered</v>
      </c>
      <c r="L443" s="9" t="s">
        <v>1703</v>
      </c>
    </row>
    <row r="444" customFormat="false" ht="23.85" hidden="false" customHeight="false" outlineLevel="0" collapsed="false">
      <c r="A444" s="51" t="s">
        <v>586</v>
      </c>
      <c r="B444" s="51" t="s">
        <v>584</v>
      </c>
      <c r="C444" s="5" t="s">
        <v>1805</v>
      </c>
      <c r="D444" s="6"/>
      <c r="E444" s="6"/>
      <c r="F444" s="6" t="s">
        <v>640</v>
      </c>
      <c r="G444" s="6"/>
      <c r="H444" s="6"/>
      <c r="I444" s="26" t="n">
        <v>0</v>
      </c>
      <c r="J444" s="26" t="n">
        <f aca="false">0</f>
        <v>0</v>
      </c>
      <c r="K444" s="43" t="str">
        <f aca="false">IF(I444=0,"No wiki control",IF(J444=I444,"Fully covered",IF(J444=0,"Not covered","Partly covered")))</f>
        <v>No wiki control</v>
      </c>
      <c r="L444" s="9" t="s">
        <v>1703</v>
      </c>
    </row>
    <row r="445" customFormat="false" ht="23.85" hidden="false" customHeight="false" outlineLevel="0" collapsed="false">
      <c r="A445" s="51" t="s">
        <v>586</v>
      </c>
      <c r="B445" s="51" t="s">
        <v>584</v>
      </c>
      <c r="C445" s="5" t="s">
        <v>1806</v>
      </c>
      <c r="D445" s="6"/>
      <c r="E445" s="6"/>
      <c r="F445" s="6" t="s">
        <v>640</v>
      </c>
      <c r="G445" s="6"/>
      <c r="H445" s="6"/>
      <c r="I445" s="26" t="n">
        <v>0</v>
      </c>
      <c r="J445" s="26" t="n">
        <f aca="false">0</f>
        <v>0</v>
      </c>
      <c r="K445" s="43" t="str">
        <f aca="false">IF(I445=0,"No wiki control",IF(J445=I445,"Fully covered",IF(J445=0,"Not covered","Partly covered")))</f>
        <v>No wiki control</v>
      </c>
      <c r="L445" s="9" t="s">
        <v>1703</v>
      </c>
    </row>
    <row r="446" customFormat="false" ht="23.85" hidden="false" customHeight="false" outlineLevel="0" collapsed="false">
      <c r="A446" s="51" t="s">
        <v>586</v>
      </c>
      <c r="B446" s="51" t="s">
        <v>584</v>
      </c>
      <c r="C446" s="5" t="s">
        <v>1807</v>
      </c>
      <c r="D446" s="6"/>
      <c r="E446" s="6"/>
      <c r="F446" s="6" t="s">
        <v>640</v>
      </c>
      <c r="G446" s="6"/>
      <c r="H446" s="6"/>
      <c r="I446" s="26" t="n">
        <v>0</v>
      </c>
      <c r="J446" s="26" t="n">
        <f aca="false">0</f>
        <v>0</v>
      </c>
      <c r="K446" s="43" t="str">
        <f aca="false">IF(I446=0,"No wiki control",IF(J446=I446,"Fully covered",IF(J446=0,"Not covered","Partly covered")))</f>
        <v>No wiki control</v>
      </c>
      <c r="L446" s="9" t="s">
        <v>1703</v>
      </c>
    </row>
    <row r="447" customFormat="false" ht="23.85" hidden="false" customHeight="false" outlineLevel="0" collapsed="false">
      <c r="A447" s="51" t="s">
        <v>586</v>
      </c>
      <c r="B447" s="51" t="s">
        <v>584</v>
      </c>
      <c r="C447" s="5" t="s">
        <v>1808</v>
      </c>
      <c r="D447" s="6" t="s">
        <v>1809</v>
      </c>
      <c r="E447" s="6" t="s">
        <v>453</v>
      </c>
      <c r="F447" s="6" t="s">
        <v>730</v>
      </c>
      <c r="G447" s="6" t="s">
        <v>456</v>
      </c>
      <c r="H447" s="6"/>
      <c r="I447" s="26" t="n">
        <v>1</v>
      </c>
      <c r="J447" s="26" t="n">
        <f aca="false">COUNTIFS('Control Library'!$A$5:$A$50,"AI-CTRL-035",'Control Library'!$R$5:$R$50,"Implemented")</f>
        <v>0</v>
      </c>
      <c r="K447" s="43" t="str">
        <f aca="false">IF(I447=0,"No wiki control",IF(J447=I447,"Fully covered",IF(J447=0,"Not covered","Partly covered")))</f>
        <v>Not covered</v>
      </c>
      <c r="L447" s="9" t="s">
        <v>1703</v>
      </c>
    </row>
    <row r="448" customFormat="false" ht="23.85" hidden="false" customHeight="false" outlineLevel="0" collapsed="false">
      <c r="A448" s="51" t="s">
        <v>586</v>
      </c>
      <c r="B448" s="51" t="s">
        <v>584</v>
      </c>
      <c r="C448" s="5" t="s">
        <v>1810</v>
      </c>
      <c r="D448" s="6"/>
      <c r="E448" s="6"/>
      <c r="F448" s="6" t="s">
        <v>640</v>
      </c>
      <c r="G448" s="6"/>
      <c r="H448" s="6"/>
      <c r="I448" s="26" t="n">
        <v>0</v>
      </c>
      <c r="J448" s="26" t="n">
        <f aca="false">0</f>
        <v>0</v>
      </c>
      <c r="K448" s="43" t="str">
        <f aca="false">IF(I448=0,"No wiki control",IF(J448=I448,"Fully covered",IF(J448=0,"Not covered","Partly covered")))</f>
        <v>No wiki control</v>
      </c>
      <c r="L448" s="9" t="s">
        <v>1703</v>
      </c>
    </row>
    <row r="449" customFormat="false" ht="23.85" hidden="false" customHeight="false" outlineLevel="0" collapsed="false">
      <c r="A449" s="51" t="s">
        <v>586</v>
      </c>
      <c r="B449" s="51" t="s">
        <v>584</v>
      </c>
      <c r="C449" s="5" t="s">
        <v>1644</v>
      </c>
      <c r="D449" s="6"/>
      <c r="E449" s="6"/>
      <c r="F449" s="6" t="s">
        <v>640</v>
      </c>
      <c r="G449" s="6"/>
      <c r="H449" s="6"/>
      <c r="I449" s="26" t="n">
        <v>0</v>
      </c>
      <c r="J449" s="26" t="n">
        <f aca="false">0</f>
        <v>0</v>
      </c>
      <c r="K449" s="43" t="str">
        <f aca="false">IF(I449=0,"No wiki control",IF(J449=I449,"Fully covered",IF(J449=0,"Not covered","Partly covered")))</f>
        <v>No wiki control</v>
      </c>
      <c r="L449" s="9" t="s">
        <v>1703</v>
      </c>
    </row>
    <row r="450" customFormat="false" ht="23.85" hidden="false" customHeight="false" outlineLevel="0" collapsed="false">
      <c r="A450" s="51" t="s">
        <v>586</v>
      </c>
      <c r="B450" s="51" t="s">
        <v>584</v>
      </c>
      <c r="C450" s="5" t="s">
        <v>1646</v>
      </c>
      <c r="D450" s="6"/>
      <c r="E450" s="6"/>
      <c r="F450" s="6" t="s">
        <v>640</v>
      </c>
      <c r="G450" s="6"/>
      <c r="H450" s="6"/>
      <c r="I450" s="26" t="n">
        <v>0</v>
      </c>
      <c r="J450" s="26" t="n">
        <f aca="false">0</f>
        <v>0</v>
      </c>
      <c r="K450" s="43" t="str">
        <f aca="false">IF(I450=0,"No wiki control",IF(J450=I450,"Fully covered",IF(J450=0,"Not covered","Partly covered")))</f>
        <v>No wiki control</v>
      </c>
      <c r="L450" s="9" t="s">
        <v>1703</v>
      </c>
    </row>
    <row r="451" customFormat="false" ht="23.85" hidden="false" customHeight="false" outlineLevel="0" collapsed="false">
      <c r="A451" s="51" t="s">
        <v>586</v>
      </c>
      <c r="B451" s="51" t="s">
        <v>584</v>
      </c>
      <c r="C451" s="5" t="s">
        <v>1648</v>
      </c>
      <c r="D451" s="6"/>
      <c r="E451" s="6"/>
      <c r="F451" s="6" t="s">
        <v>640</v>
      </c>
      <c r="G451" s="6"/>
      <c r="H451" s="6"/>
      <c r="I451" s="26" t="n">
        <v>0</v>
      </c>
      <c r="J451" s="26" t="n">
        <f aca="false">0</f>
        <v>0</v>
      </c>
      <c r="K451" s="43" t="str">
        <f aca="false">IF(I451=0,"No wiki control",IF(J451=I451,"Fully covered",IF(J451=0,"Not covered","Partly covered")))</f>
        <v>No wiki control</v>
      </c>
      <c r="L451" s="9" t="s">
        <v>1703</v>
      </c>
    </row>
    <row r="452" customFormat="false" ht="23.85" hidden="false" customHeight="false" outlineLevel="0" collapsed="false">
      <c r="A452" s="51" t="s">
        <v>586</v>
      </c>
      <c r="B452" s="51" t="s">
        <v>584</v>
      </c>
      <c r="C452" s="5" t="s">
        <v>1650</v>
      </c>
      <c r="D452" s="6"/>
      <c r="E452" s="6"/>
      <c r="F452" s="6" t="s">
        <v>640</v>
      </c>
      <c r="G452" s="6"/>
      <c r="H452" s="6"/>
      <c r="I452" s="26" t="n">
        <v>0</v>
      </c>
      <c r="J452" s="26" t="n">
        <f aca="false">0</f>
        <v>0</v>
      </c>
      <c r="K452" s="43" t="str">
        <f aca="false">IF(I452=0,"No wiki control",IF(J452=I452,"Fully covered",IF(J452=0,"Not covered","Partly covered")))</f>
        <v>No wiki control</v>
      </c>
      <c r="L452" s="9" t="s">
        <v>1703</v>
      </c>
    </row>
    <row r="453" customFormat="false" ht="23.85" hidden="false" customHeight="false" outlineLevel="0" collapsed="false">
      <c r="A453" s="51" t="s">
        <v>586</v>
      </c>
      <c r="B453" s="51" t="s">
        <v>584</v>
      </c>
      <c r="C453" s="5" t="s">
        <v>1654</v>
      </c>
      <c r="D453" s="6"/>
      <c r="E453" s="6"/>
      <c r="F453" s="6" t="s">
        <v>640</v>
      </c>
      <c r="G453" s="6"/>
      <c r="H453" s="6"/>
      <c r="I453" s="26" t="n">
        <v>0</v>
      </c>
      <c r="J453" s="26" t="n">
        <f aca="false">0</f>
        <v>0</v>
      </c>
      <c r="K453" s="43" t="str">
        <f aca="false">IF(I453=0,"No wiki control",IF(J453=I453,"Fully covered",IF(J453=0,"Not covered","Partly covered")))</f>
        <v>No wiki control</v>
      </c>
      <c r="L453" s="9" t="s">
        <v>1703</v>
      </c>
    </row>
    <row r="454" customFormat="false" ht="23.85" hidden="false" customHeight="false" outlineLevel="0" collapsed="false">
      <c r="A454" s="51" t="s">
        <v>586</v>
      </c>
      <c r="B454" s="51" t="s">
        <v>584</v>
      </c>
      <c r="C454" s="5" t="s">
        <v>1811</v>
      </c>
      <c r="D454" s="6"/>
      <c r="E454" s="6"/>
      <c r="F454" s="6" t="s">
        <v>640</v>
      </c>
      <c r="G454" s="6"/>
      <c r="H454" s="6"/>
      <c r="I454" s="26" t="n">
        <v>0</v>
      </c>
      <c r="J454" s="26" t="n">
        <f aca="false">0</f>
        <v>0</v>
      </c>
      <c r="K454" s="43" t="str">
        <f aca="false">IF(I454=0,"No wiki control",IF(J454=I454,"Fully covered",IF(J454=0,"Not covered","Partly covered")))</f>
        <v>No wiki control</v>
      </c>
      <c r="L454" s="9" t="s">
        <v>1703</v>
      </c>
    </row>
    <row r="455" customFormat="false" ht="23.85" hidden="false" customHeight="false" outlineLevel="0" collapsed="false">
      <c r="A455" s="51" t="s">
        <v>586</v>
      </c>
      <c r="B455" s="51" t="s">
        <v>584</v>
      </c>
      <c r="C455" s="5" t="s">
        <v>1812</v>
      </c>
      <c r="D455" s="6"/>
      <c r="E455" s="6"/>
      <c r="F455" s="6" t="s">
        <v>640</v>
      </c>
      <c r="G455" s="6"/>
      <c r="H455" s="6"/>
      <c r="I455" s="26" t="n">
        <v>0</v>
      </c>
      <c r="J455" s="26" t="n">
        <f aca="false">0</f>
        <v>0</v>
      </c>
      <c r="K455" s="43" t="str">
        <f aca="false">IF(I455=0,"No wiki control",IF(J455=I455,"Fully covered",IF(J455=0,"Not covered","Partly covered")))</f>
        <v>No wiki control</v>
      </c>
      <c r="L455" s="9" t="s">
        <v>1703</v>
      </c>
    </row>
    <row r="456" customFormat="false" ht="23.85" hidden="false" customHeight="false" outlineLevel="0" collapsed="false">
      <c r="A456" s="51" t="s">
        <v>586</v>
      </c>
      <c r="B456" s="51" t="s">
        <v>584</v>
      </c>
      <c r="C456" s="5" t="s">
        <v>1813</v>
      </c>
      <c r="D456" s="6"/>
      <c r="E456" s="6"/>
      <c r="F456" s="6" t="s">
        <v>640</v>
      </c>
      <c r="G456" s="6"/>
      <c r="H456" s="6"/>
      <c r="I456" s="26" t="n">
        <v>0</v>
      </c>
      <c r="J456" s="26" t="n">
        <f aca="false">0</f>
        <v>0</v>
      </c>
      <c r="K456" s="43" t="str">
        <f aca="false">IF(I456=0,"No wiki control",IF(J456=I456,"Fully covered",IF(J456=0,"Not covered","Partly covered")))</f>
        <v>No wiki control</v>
      </c>
      <c r="L456" s="9" t="s">
        <v>1703</v>
      </c>
    </row>
    <row r="457" customFormat="false" ht="23.85" hidden="false" customHeight="false" outlineLevel="0" collapsed="false">
      <c r="A457" s="51" t="s">
        <v>586</v>
      </c>
      <c r="B457" s="51" t="s">
        <v>584</v>
      </c>
      <c r="C457" s="5" t="s">
        <v>1814</v>
      </c>
      <c r="D457" s="6"/>
      <c r="E457" s="6"/>
      <c r="F457" s="6" t="s">
        <v>640</v>
      </c>
      <c r="G457" s="6"/>
      <c r="H457" s="6"/>
      <c r="I457" s="26" t="n">
        <v>0</v>
      </c>
      <c r="J457" s="26" t="n">
        <f aca="false">0</f>
        <v>0</v>
      </c>
      <c r="K457" s="43" t="str">
        <f aca="false">IF(I457=0,"No wiki control",IF(J457=I457,"Fully covered",IF(J457=0,"Not covered","Partly covered")))</f>
        <v>No wiki control</v>
      </c>
      <c r="L457" s="9" t="s">
        <v>1703</v>
      </c>
    </row>
    <row r="458" customFormat="false" ht="23.85" hidden="false" customHeight="false" outlineLevel="0" collapsed="false">
      <c r="A458" s="51" t="s">
        <v>586</v>
      </c>
      <c r="B458" s="51" t="s">
        <v>584</v>
      </c>
      <c r="C458" s="5" t="s">
        <v>1815</v>
      </c>
      <c r="D458" s="6"/>
      <c r="E458" s="6"/>
      <c r="F458" s="6" t="s">
        <v>640</v>
      </c>
      <c r="G458" s="6"/>
      <c r="H458" s="6"/>
      <c r="I458" s="26" t="n">
        <v>0</v>
      </c>
      <c r="J458" s="26" t="n">
        <f aca="false">0</f>
        <v>0</v>
      </c>
      <c r="K458" s="43" t="str">
        <f aca="false">IF(I458=0,"No wiki control",IF(J458=I458,"Fully covered",IF(J458=0,"Not covered","Partly covered")))</f>
        <v>No wiki control</v>
      </c>
      <c r="L458" s="9" t="s">
        <v>1703</v>
      </c>
    </row>
    <row r="459" customFormat="false" ht="23.85" hidden="false" customHeight="false" outlineLevel="0" collapsed="false">
      <c r="A459" s="51" t="s">
        <v>586</v>
      </c>
      <c r="B459" s="51" t="s">
        <v>584</v>
      </c>
      <c r="C459" s="5" t="s">
        <v>1816</v>
      </c>
      <c r="D459" s="6"/>
      <c r="E459" s="6"/>
      <c r="F459" s="6" t="s">
        <v>640</v>
      </c>
      <c r="G459" s="6"/>
      <c r="H459" s="6"/>
      <c r="I459" s="26" t="n">
        <v>0</v>
      </c>
      <c r="J459" s="26" t="n">
        <f aca="false">0</f>
        <v>0</v>
      </c>
      <c r="K459" s="43" t="str">
        <f aca="false">IF(I459=0,"No wiki control",IF(J459=I459,"Fully covered",IF(J459=0,"Not covered","Partly covered")))</f>
        <v>No wiki control</v>
      </c>
      <c r="L459" s="9" t="s">
        <v>1703</v>
      </c>
    </row>
    <row r="460" customFormat="false" ht="23.85" hidden="false" customHeight="false" outlineLevel="0" collapsed="false">
      <c r="A460" s="51" t="s">
        <v>586</v>
      </c>
      <c r="B460" s="51" t="s">
        <v>584</v>
      </c>
      <c r="C460" s="5" t="s">
        <v>1817</v>
      </c>
      <c r="D460" s="6"/>
      <c r="E460" s="6"/>
      <c r="F460" s="6" t="s">
        <v>640</v>
      </c>
      <c r="G460" s="6"/>
      <c r="H460" s="6"/>
      <c r="I460" s="26" t="n">
        <v>0</v>
      </c>
      <c r="J460" s="26" t="n">
        <f aca="false">0</f>
        <v>0</v>
      </c>
      <c r="K460" s="43" t="str">
        <f aca="false">IF(I460=0,"No wiki control",IF(J460=I460,"Fully covered",IF(J460=0,"Not covered","Partly covered")))</f>
        <v>No wiki control</v>
      </c>
      <c r="L460" s="9" t="s">
        <v>1703</v>
      </c>
    </row>
    <row r="461" customFormat="false" ht="23.85" hidden="false" customHeight="false" outlineLevel="0" collapsed="false">
      <c r="A461" s="51" t="s">
        <v>586</v>
      </c>
      <c r="B461" s="51" t="s">
        <v>584</v>
      </c>
      <c r="C461" s="5" t="s">
        <v>1818</v>
      </c>
      <c r="D461" s="6"/>
      <c r="E461" s="6"/>
      <c r="F461" s="6" t="s">
        <v>640</v>
      </c>
      <c r="G461" s="6"/>
      <c r="H461" s="6"/>
      <c r="I461" s="26" t="n">
        <v>0</v>
      </c>
      <c r="J461" s="26" t="n">
        <f aca="false">0</f>
        <v>0</v>
      </c>
      <c r="K461" s="43" t="str">
        <f aca="false">IF(I461=0,"No wiki control",IF(J461=I461,"Fully covered",IF(J461=0,"Not covered","Partly covered")))</f>
        <v>No wiki control</v>
      </c>
      <c r="L461" s="9" t="s">
        <v>1703</v>
      </c>
    </row>
    <row r="462" customFormat="false" ht="23.85" hidden="false" customHeight="false" outlineLevel="0" collapsed="false">
      <c r="A462" s="51" t="s">
        <v>586</v>
      </c>
      <c r="B462" s="51" t="s">
        <v>584</v>
      </c>
      <c r="C462" s="5" t="s">
        <v>1819</v>
      </c>
      <c r="D462" s="6" t="s">
        <v>1820</v>
      </c>
      <c r="E462" s="6" t="s">
        <v>1821</v>
      </c>
      <c r="F462" s="6" t="s">
        <v>730</v>
      </c>
      <c r="G462" s="6" t="s">
        <v>1822</v>
      </c>
      <c r="H462" s="6"/>
      <c r="I462" s="26" t="n">
        <v>3</v>
      </c>
      <c r="J462" s="26" t="n">
        <f aca="false">COUNTIFS('Control Library'!$A$5:$A$50,"AI-CTRL-001",'Control Library'!$R$5:$R$50,"Implemented")+COUNTIFS('Control Library'!$A$5:$A$50,"AI-CTRL-002",'Control Library'!$R$5:$R$50,"Implemented")+COUNTIFS('Control Library'!$A$5:$A$50,"AI-CTRL-004",'Control Library'!$R$5:$R$50,"Implemented")</f>
        <v>0</v>
      </c>
      <c r="K462" s="43" t="str">
        <f aca="false">IF(I462=0,"No wiki control",IF(J462=I462,"Fully covered",IF(J462=0,"Not covered","Partly covered")))</f>
        <v>Not covered</v>
      </c>
      <c r="L462" s="9" t="s">
        <v>1703</v>
      </c>
    </row>
    <row r="463" customFormat="false" ht="23.85" hidden="false" customHeight="false" outlineLevel="0" collapsed="false">
      <c r="A463" s="51" t="s">
        <v>586</v>
      </c>
      <c r="B463" s="51" t="s">
        <v>584</v>
      </c>
      <c r="C463" s="5" t="s">
        <v>1656</v>
      </c>
      <c r="D463" s="6" t="s">
        <v>1823</v>
      </c>
      <c r="E463" s="6" t="s">
        <v>300</v>
      </c>
      <c r="F463" s="6" t="s">
        <v>730</v>
      </c>
      <c r="G463" s="6" t="s">
        <v>303</v>
      </c>
      <c r="H463" s="6"/>
      <c r="I463" s="26" t="n">
        <v>1</v>
      </c>
      <c r="J463" s="26" t="n">
        <f aca="false">COUNTIFS('Control Library'!$A$5:$A$50,"AI-CTRL-016",'Control Library'!$R$5:$R$50,"Implemented")</f>
        <v>0</v>
      </c>
      <c r="K463" s="43" t="str">
        <f aca="false">IF(I463=0,"No wiki control",IF(J463=I463,"Fully covered",IF(J463=0,"Not covered","Partly covered")))</f>
        <v>Not covered</v>
      </c>
      <c r="L463" s="9" t="s">
        <v>1703</v>
      </c>
    </row>
    <row r="464" customFormat="false" ht="23.85" hidden="false" customHeight="false" outlineLevel="0" collapsed="false">
      <c r="A464" s="51" t="s">
        <v>586</v>
      </c>
      <c r="B464" s="51" t="s">
        <v>584</v>
      </c>
      <c r="C464" s="5" t="s">
        <v>1660</v>
      </c>
      <c r="D464" s="6" t="s">
        <v>1824</v>
      </c>
      <c r="E464" s="6" t="s">
        <v>1825</v>
      </c>
      <c r="F464" s="6" t="s">
        <v>730</v>
      </c>
      <c r="G464" s="6" t="s">
        <v>1826</v>
      </c>
      <c r="H464" s="6"/>
      <c r="I464" s="26" t="n">
        <v>5</v>
      </c>
      <c r="J464" s="26" t="n">
        <f aca="false">COUNTIFS('Control Library'!$A$5:$A$50,"AI-CTRL-016",'Control Library'!$R$5:$R$50,"Implemented")+COUNTIFS('Control Library'!$A$5:$A$50,"AI-CTRL-018",'Control Library'!$R$5:$R$50,"Implemented")+COUNTIFS('Control Library'!$A$5:$A$50,"AI-CTRL-022",'Control Library'!$R$5:$R$50,"Implemented")+COUNTIFS('Control Library'!$A$5:$A$50,"AI-CTRL-026",'Control Library'!$R$5:$R$50,"Implemented")+COUNTIFS('Control Library'!$A$5:$A$50,"AI-CTRL-028",'Control Library'!$R$5:$R$50,"Implemented")</f>
        <v>0</v>
      </c>
      <c r="K464" s="43" t="str">
        <f aca="false">IF(I464=0,"No wiki control",IF(J464=I464,"Fully covered",IF(J464=0,"Not covered","Partly covered")))</f>
        <v>Not covered</v>
      </c>
      <c r="L464" s="9" t="s">
        <v>1703</v>
      </c>
    </row>
    <row r="465" customFormat="false" ht="23.85" hidden="false" customHeight="false" outlineLevel="0" collapsed="false">
      <c r="A465" s="51" t="s">
        <v>586</v>
      </c>
      <c r="B465" s="51" t="s">
        <v>584</v>
      </c>
      <c r="C465" s="5" t="s">
        <v>1664</v>
      </c>
      <c r="D465" s="6" t="s">
        <v>1827</v>
      </c>
      <c r="E465" s="6" t="s">
        <v>1828</v>
      </c>
      <c r="F465" s="6" t="s">
        <v>730</v>
      </c>
      <c r="G465" s="6" t="s">
        <v>1829</v>
      </c>
      <c r="H465" s="6"/>
      <c r="I465" s="26" t="n">
        <v>2</v>
      </c>
      <c r="J465" s="26" t="n">
        <f aca="false">COUNTIFS('Control Library'!$A$5:$A$50,"AI-CTRL-004",'Control Library'!$R$5:$R$50,"Implemented")+COUNTIFS('Control Library'!$A$5:$A$50,"AI-CTRL-030",'Control Library'!$R$5:$R$50,"Implemented")</f>
        <v>0</v>
      </c>
      <c r="K465" s="43" t="str">
        <f aca="false">IF(I465=0,"No wiki control",IF(J465=I465,"Fully covered",IF(J465=0,"Not covered","Partly covered")))</f>
        <v>Not covered</v>
      </c>
      <c r="L465" s="9" t="s">
        <v>1703</v>
      </c>
    </row>
    <row r="466" customFormat="false" ht="23.85" hidden="false" customHeight="false" outlineLevel="0" collapsed="false">
      <c r="A466" s="51" t="s">
        <v>586</v>
      </c>
      <c r="B466" s="51" t="s">
        <v>584</v>
      </c>
      <c r="C466" s="5" t="s">
        <v>1666</v>
      </c>
      <c r="D466" s="6" t="s">
        <v>1830</v>
      </c>
      <c r="E466" s="6" t="s">
        <v>291</v>
      </c>
      <c r="F466" s="6" t="s">
        <v>730</v>
      </c>
      <c r="G466" s="6" t="s">
        <v>295</v>
      </c>
      <c r="H466" s="6"/>
      <c r="I466" s="26" t="n">
        <v>1</v>
      </c>
      <c r="J466" s="26" t="n">
        <f aca="false">COUNTIFS('Control Library'!$A$5:$A$50,"AI-CTRL-015",'Control Library'!$R$5:$R$50,"Implemented")</f>
        <v>0</v>
      </c>
      <c r="K466" s="43" t="str">
        <f aca="false">IF(I466=0,"No wiki control",IF(J466=I466,"Fully covered",IF(J466=0,"Not covered","Partly covered")))</f>
        <v>Not covered</v>
      </c>
      <c r="L466" s="9" t="s">
        <v>1703</v>
      </c>
    </row>
    <row r="467" customFormat="false" ht="23.85" hidden="false" customHeight="false" outlineLevel="0" collapsed="false">
      <c r="A467" s="51" t="s">
        <v>586</v>
      </c>
      <c r="B467" s="51" t="s">
        <v>584</v>
      </c>
      <c r="C467" s="5" t="s">
        <v>1831</v>
      </c>
      <c r="D467" s="6" t="s">
        <v>1832</v>
      </c>
      <c r="E467" s="6" t="s">
        <v>771</v>
      </c>
      <c r="F467" s="6" t="s">
        <v>730</v>
      </c>
      <c r="G467" s="6" t="s">
        <v>772</v>
      </c>
      <c r="H467" s="6"/>
      <c r="I467" s="26" t="n">
        <v>2</v>
      </c>
      <c r="J467" s="26" t="n">
        <f aca="false">COUNTIFS('Control Library'!$A$5:$A$50,"AI-CTRL-036",'Control Library'!$R$5:$R$50,"Implemented")+COUNTIFS('Control Library'!$A$5:$A$50,"AI-CTRL-040",'Control Library'!$R$5:$R$50,"Implemented")</f>
        <v>0</v>
      </c>
      <c r="K467" s="43" t="str">
        <f aca="false">IF(I467=0,"No wiki control",IF(J467=I467,"Fully covered",IF(J467=0,"Not covered","Partly covered")))</f>
        <v>Not covered</v>
      </c>
      <c r="L467" s="9" t="s">
        <v>1703</v>
      </c>
    </row>
    <row r="468" customFormat="false" ht="23.85" hidden="false" customHeight="false" outlineLevel="0" collapsed="false">
      <c r="A468" s="51" t="s">
        <v>586</v>
      </c>
      <c r="B468" s="51" t="s">
        <v>584</v>
      </c>
      <c r="C468" s="5" t="s">
        <v>1833</v>
      </c>
      <c r="D468" s="6" t="s">
        <v>1834</v>
      </c>
      <c r="E468" s="6" t="s">
        <v>339</v>
      </c>
      <c r="F468" s="6" t="s">
        <v>730</v>
      </c>
      <c r="G468" s="6" t="s">
        <v>343</v>
      </c>
      <c r="H468" s="6"/>
      <c r="I468" s="26" t="n">
        <v>1</v>
      </c>
      <c r="J468" s="26" t="n">
        <f aca="false">COUNTIFS('Control Library'!$A$5:$A$50,"AI-CTRL-021",'Control Library'!$R$5:$R$50,"Implemented")</f>
        <v>0</v>
      </c>
      <c r="K468" s="43" t="str">
        <f aca="false">IF(I468=0,"No wiki control",IF(J468=I468,"Fully covered",IF(J468=0,"Not covered","Partly covered")))</f>
        <v>Not covered</v>
      </c>
      <c r="L468" s="9" t="s">
        <v>1703</v>
      </c>
    </row>
    <row r="469" customFormat="false" ht="35.05" hidden="false" customHeight="false" outlineLevel="0" collapsed="false">
      <c r="A469" s="51" t="s">
        <v>586</v>
      </c>
      <c r="B469" s="51" t="s">
        <v>584</v>
      </c>
      <c r="C469" s="5" t="s">
        <v>1835</v>
      </c>
      <c r="D469" s="6" t="s">
        <v>1836</v>
      </c>
      <c r="E469" s="6" t="s">
        <v>1837</v>
      </c>
      <c r="F469" s="6" t="s">
        <v>730</v>
      </c>
      <c r="G469" s="6" t="s">
        <v>1838</v>
      </c>
      <c r="H469" s="6"/>
      <c r="I469" s="26" t="n">
        <v>3</v>
      </c>
      <c r="J469" s="26" t="n">
        <f aca="false">COUNTIFS('Control Library'!$A$5:$A$50,"AI-CTRL-031",'Control Library'!$R$5:$R$50,"Implemented")+COUNTIFS('Control Library'!$A$5:$A$50,"AI-CTRL-032",'Control Library'!$R$5:$R$50,"Implemented")+COUNTIFS('Control Library'!$A$5:$A$50,"AI-CTRL-034",'Control Library'!$R$5:$R$50,"Implemented")</f>
        <v>0</v>
      </c>
      <c r="K469" s="43" t="str">
        <f aca="false">IF(I469=0,"No wiki control",IF(J469=I469,"Fully covered",IF(J469=0,"Not covered","Partly covered")))</f>
        <v>Not covered</v>
      </c>
      <c r="L469" s="9" t="s">
        <v>1703</v>
      </c>
    </row>
    <row r="470" customFormat="false" ht="23.85" hidden="false" customHeight="false" outlineLevel="0" collapsed="false">
      <c r="A470" s="51" t="s">
        <v>586</v>
      </c>
      <c r="B470" s="51" t="s">
        <v>584</v>
      </c>
      <c r="C470" s="5" t="s">
        <v>1839</v>
      </c>
      <c r="D470" s="6" t="s">
        <v>1840</v>
      </c>
      <c r="E470" s="6" t="s">
        <v>1092</v>
      </c>
      <c r="F470" s="6" t="s">
        <v>730</v>
      </c>
      <c r="G470" s="6" t="s">
        <v>1093</v>
      </c>
      <c r="H470" s="6"/>
      <c r="I470" s="26" t="n">
        <v>3</v>
      </c>
      <c r="J470" s="26" t="n">
        <f aca="false">COUNTIFS('Control Library'!$A$5:$A$50,"AI-CTRL-024",'Control Library'!$R$5:$R$50,"Implemented")+COUNTIFS('Control Library'!$A$5:$A$50,"AI-CTRL-030",'Control Library'!$R$5:$R$50,"Implemented")+COUNTIFS('Control Library'!$A$5:$A$50,"AI-CTRL-032",'Control Library'!$R$5:$R$50,"Implemented")</f>
        <v>0</v>
      </c>
      <c r="K470" s="43" t="str">
        <f aca="false">IF(I470=0,"No wiki control",IF(J470=I470,"Fully covered",IF(J470=0,"Not covered","Partly covered")))</f>
        <v>Not covered</v>
      </c>
      <c r="L470" s="9" t="s">
        <v>1703</v>
      </c>
    </row>
    <row r="471" customFormat="false" ht="23.85" hidden="false" customHeight="false" outlineLevel="0" collapsed="false">
      <c r="A471" s="51" t="s">
        <v>586</v>
      </c>
      <c r="B471" s="51" t="s">
        <v>584</v>
      </c>
      <c r="C471" s="5" t="s">
        <v>1841</v>
      </c>
      <c r="D471" s="6" t="s">
        <v>1842</v>
      </c>
      <c r="E471" s="6" t="s">
        <v>1843</v>
      </c>
      <c r="F471" s="6" t="s">
        <v>730</v>
      </c>
      <c r="G471" s="6" t="s">
        <v>1844</v>
      </c>
      <c r="H471" s="6"/>
      <c r="I471" s="26" t="n">
        <v>3</v>
      </c>
      <c r="J471" s="26" t="n">
        <f aca="false">COUNTIFS('Control Library'!$A$5:$A$50,"AI-CTRL-007",'Control Library'!$R$5:$R$50,"Implemented")+COUNTIFS('Control Library'!$A$5:$A$50,"AI-CTRL-013",'Control Library'!$R$5:$R$50,"Implemented")+COUNTIFS('Control Library'!$A$5:$A$50,"AI-CTRL-017",'Control Library'!$R$5:$R$50,"Implemented")</f>
        <v>0</v>
      </c>
      <c r="K471" s="43" t="str">
        <f aca="false">IF(I471=0,"No wiki control",IF(J471=I471,"Fully covered",IF(J471=0,"Not covered","Partly covered")))</f>
        <v>Not covered</v>
      </c>
      <c r="L471" s="9" t="s">
        <v>1703</v>
      </c>
    </row>
    <row r="472" customFormat="false" ht="23.85" hidden="false" customHeight="false" outlineLevel="0" collapsed="false">
      <c r="A472" s="51" t="s">
        <v>586</v>
      </c>
      <c r="B472" s="51" t="s">
        <v>584</v>
      </c>
      <c r="C472" s="5" t="s">
        <v>1845</v>
      </c>
      <c r="D472" s="6" t="s">
        <v>1846</v>
      </c>
      <c r="E472" s="6" t="s">
        <v>1847</v>
      </c>
      <c r="F472" s="6" t="s">
        <v>730</v>
      </c>
      <c r="G472" s="6" t="s">
        <v>1844</v>
      </c>
      <c r="H472" s="6"/>
      <c r="I472" s="26" t="n">
        <v>3</v>
      </c>
      <c r="J472" s="26" t="n">
        <f aca="false">COUNTIFS('Control Library'!$A$5:$A$50,"AI-CTRL-002",'Control Library'!$R$5:$R$50,"Implemented")+COUNTIFS('Control Library'!$A$5:$A$50,"AI-CTRL-013",'Control Library'!$R$5:$R$50,"Implemented")+COUNTIFS('Control Library'!$A$5:$A$50,"AI-CTRL-017",'Control Library'!$R$5:$R$50,"Implemented")</f>
        <v>0</v>
      </c>
      <c r="K472" s="43" t="str">
        <f aca="false">IF(I472=0,"No wiki control",IF(J472=I472,"Fully covered",IF(J472=0,"Not covered","Partly covered")))</f>
        <v>Not covered</v>
      </c>
      <c r="L472" s="9" t="s">
        <v>1703</v>
      </c>
    </row>
    <row r="473" customFormat="false" ht="35.05" hidden="false" customHeight="false" outlineLevel="0" collapsed="false">
      <c r="A473" s="51" t="s">
        <v>586</v>
      </c>
      <c r="B473" s="51" t="s">
        <v>584</v>
      </c>
      <c r="C473" s="5" t="s">
        <v>1848</v>
      </c>
      <c r="D473" s="6" t="s">
        <v>1849</v>
      </c>
      <c r="E473" s="6" t="s">
        <v>1850</v>
      </c>
      <c r="F473" s="6" t="s">
        <v>730</v>
      </c>
      <c r="G473" s="6" t="s">
        <v>1851</v>
      </c>
      <c r="H473" s="6"/>
      <c r="I473" s="26" t="n">
        <v>7</v>
      </c>
      <c r="J473" s="26" t="n">
        <f aca="false">COUNTIFS('Control Library'!$A$5:$A$50,"AI-CTRL-002",'Control Library'!$R$5:$R$50,"Implemented")+COUNTIFS('Control Library'!$A$5:$A$50,"AI-CTRL-003",'Control Library'!$R$5:$R$50,"Implemented")+COUNTIFS('Control Library'!$A$5:$A$50,"AI-CTRL-004",'Control Library'!$R$5:$R$50,"Implemented")+COUNTIFS('Control Library'!$A$5:$A$50,"AI-CTRL-010",'Control Library'!$R$5:$R$50,"Implemented")+COUNTIFS('Control Library'!$A$5:$A$50,"AI-CTRL-017",'Control Library'!$R$5:$R$50,"Implemented")+COUNTIFS('Control Library'!$A$5:$A$50,"AI-CTRL-021",'Control Library'!$R$5:$R$50,"Implemented")+COUNTIFS('Control Library'!$A$5:$A$50,"AI-CTRL-028",'Control Library'!$R$5:$R$50,"Implemented")</f>
        <v>0</v>
      </c>
      <c r="K473" s="43" t="str">
        <f aca="false">IF(I473=0,"No wiki control",IF(J473=I473,"Fully covered",IF(J473=0,"Not covered","Partly covered")))</f>
        <v>Not covered</v>
      </c>
      <c r="L473" s="9" t="s">
        <v>1703</v>
      </c>
    </row>
    <row r="474" customFormat="false" ht="23.85" hidden="false" customHeight="false" outlineLevel="0" collapsed="false">
      <c r="A474" s="51" t="s">
        <v>586</v>
      </c>
      <c r="B474" s="51" t="s">
        <v>584</v>
      </c>
      <c r="C474" s="5" t="s">
        <v>1852</v>
      </c>
      <c r="D474" s="6" t="s">
        <v>1853</v>
      </c>
      <c r="E474" s="6" t="s">
        <v>495</v>
      </c>
      <c r="F474" s="6" t="s">
        <v>730</v>
      </c>
      <c r="G474" s="6" t="s">
        <v>499</v>
      </c>
      <c r="H474" s="6"/>
      <c r="I474" s="26" t="n">
        <v>1</v>
      </c>
      <c r="J474" s="26" t="n">
        <f aca="false">COUNTIFS('Control Library'!$A$5:$A$50,"AI-CTRL-040",'Control Library'!$R$5:$R$50,"Implemented")</f>
        <v>0</v>
      </c>
      <c r="K474" s="43" t="str">
        <f aca="false">IF(I474=0,"No wiki control",IF(J474=I474,"Fully covered",IF(J474=0,"Not covered","Partly covered")))</f>
        <v>Not covered</v>
      </c>
      <c r="L474" s="9" t="s">
        <v>1703</v>
      </c>
    </row>
    <row r="475" customFormat="false" ht="23.85" hidden="false" customHeight="false" outlineLevel="0" collapsed="false">
      <c r="A475" s="51" t="s">
        <v>586</v>
      </c>
      <c r="B475" s="51" t="s">
        <v>584</v>
      </c>
      <c r="C475" s="5" t="s">
        <v>1854</v>
      </c>
      <c r="D475" s="6" t="s">
        <v>1855</v>
      </c>
      <c r="E475" s="6" t="s">
        <v>495</v>
      </c>
      <c r="F475" s="6" t="s">
        <v>730</v>
      </c>
      <c r="G475" s="6" t="s">
        <v>499</v>
      </c>
      <c r="H475" s="6"/>
      <c r="I475" s="26" t="n">
        <v>1</v>
      </c>
      <c r="J475" s="26" t="n">
        <f aca="false">COUNTIFS('Control Library'!$A$5:$A$50,"AI-CTRL-040",'Control Library'!$R$5:$R$50,"Implemented")</f>
        <v>0</v>
      </c>
      <c r="K475" s="43" t="str">
        <f aca="false">IF(I475=0,"No wiki control",IF(J475=I475,"Fully covered",IF(J475=0,"Not covered","Partly covered")))</f>
        <v>Not covered</v>
      </c>
      <c r="L475" s="9" t="s">
        <v>1703</v>
      </c>
    </row>
    <row r="476" customFormat="false" ht="23.85" hidden="false" customHeight="false" outlineLevel="0" collapsed="false">
      <c r="A476" s="51" t="s">
        <v>586</v>
      </c>
      <c r="B476" s="51" t="s">
        <v>584</v>
      </c>
      <c r="C476" s="5" t="s">
        <v>1856</v>
      </c>
      <c r="D476" s="6" t="s">
        <v>1857</v>
      </c>
      <c r="E476" s="6" t="s">
        <v>1107</v>
      </c>
      <c r="F476" s="6" t="s">
        <v>730</v>
      </c>
      <c r="G476" s="6" t="s">
        <v>1108</v>
      </c>
      <c r="H476" s="6"/>
      <c r="I476" s="26" t="n">
        <v>3</v>
      </c>
      <c r="J476" s="26" t="n">
        <f aca="false">COUNTIFS('Control Library'!$A$5:$A$50,"AI-CTRL-006",'Control Library'!$R$5:$R$50,"Implemented")+COUNTIFS('Control Library'!$A$5:$A$50,"AI-CTRL-008",'Control Library'!$R$5:$R$50,"Implemented")+COUNTIFS('Control Library'!$A$5:$A$50,"AI-CTRL-009",'Control Library'!$R$5:$R$50,"Implemented")</f>
        <v>0</v>
      </c>
      <c r="K476" s="43" t="str">
        <f aca="false">IF(I476=0,"No wiki control",IF(J476=I476,"Fully covered",IF(J476=0,"Not covered","Partly covered")))</f>
        <v>Not covered</v>
      </c>
      <c r="L476" s="9" t="s">
        <v>1703</v>
      </c>
    </row>
    <row r="477" customFormat="false" ht="35.05" hidden="false" customHeight="false" outlineLevel="0" collapsed="false">
      <c r="A477" s="51" t="s">
        <v>586</v>
      </c>
      <c r="B477" s="51" t="s">
        <v>584</v>
      </c>
      <c r="C477" s="5" t="s">
        <v>1858</v>
      </c>
      <c r="D477" s="6" t="s">
        <v>1859</v>
      </c>
      <c r="E477" s="6" t="s">
        <v>1860</v>
      </c>
      <c r="F477" s="6" t="s">
        <v>730</v>
      </c>
      <c r="G477" s="6" t="s">
        <v>1861</v>
      </c>
      <c r="H477" s="6"/>
      <c r="I477" s="26" t="n">
        <v>5</v>
      </c>
      <c r="J477" s="26" t="n">
        <f aca="false">COUNTIFS('Control Library'!$A$5:$A$50,"AI-CTRL-001",'Control Library'!$R$5:$R$50,"Implemented")+COUNTIFS('Control Library'!$A$5:$A$50,"AI-CTRL-005",'Control Library'!$R$5:$R$50,"Implemented")+COUNTIFS('Control Library'!$A$5:$A$50,"AI-CTRL-006",'Control Library'!$R$5:$R$50,"Implemented")+COUNTIFS('Control Library'!$A$5:$A$50,"AI-CTRL-009",'Control Library'!$R$5:$R$50,"Implemented")+COUNTIFS('Control Library'!$A$5:$A$50,"AI-CTRL-036",'Control Library'!$R$5:$R$50,"Implemented")</f>
        <v>0</v>
      </c>
      <c r="K477" s="43" t="str">
        <f aca="false">IF(I477=0,"No wiki control",IF(J477=I477,"Fully covered",IF(J477=0,"Not covered","Partly covered")))</f>
        <v>Not covered</v>
      </c>
      <c r="L477" s="9" t="s">
        <v>1703</v>
      </c>
    </row>
    <row r="478" customFormat="false" ht="23.85" hidden="false" customHeight="false" outlineLevel="0" collapsed="false">
      <c r="A478" s="51" t="s">
        <v>586</v>
      </c>
      <c r="B478" s="51" t="s">
        <v>584</v>
      </c>
      <c r="C478" s="5" t="s">
        <v>1862</v>
      </c>
      <c r="D478" s="6" t="s">
        <v>1863</v>
      </c>
      <c r="E478" s="6" t="s">
        <v>230</v>
      </c>
      <c r="F478" s="6" t="s">
        <v>730</v>
      </c>
      <c r="G478" s="6" t="s">
        <v>234</v>
      </c>
      <c r="H478" s="6"/>
      <c r="I478" s="26" t="n">
        <v>1</v>
      </c>
      <c r="J478" s="26" t="n">
        <f aca="false">COUNTIFS('Control Library'!$A$5:$A$50,"AI-CTRL-008",'Control Library'!$R$5:$R$50,"Implemented")</f>
        <v>0</v>
      </c>
      <c r="K478" s="43" t="str">
        <f aca="false">IF(I478=0,"No wiki control",IF(J478=I478,"Fully covered",IF(J478=0,"Not covered","Partly covered")))</f>
        <v>Not covered</v>
      </c>
      <c r="L478" s="9" t="s">
        <v>1703</v>
      </c>
    </row>
    <row r="479" customFormat="false" ht="23.85" hidden="false" customHeight="false" outlineLevel="0" collapsed="false">
      <c r="A479" s="51" t="s">
        <v>586</v>
      </c>
      <c r="B479" s="51" t="s">
        <v>584</v>
      </c>
      <c r="C479" s="5" t="s">
        <v>1864</v>
      </c>
      <c r="D479" s="6" t="s">
        <v>1865</v>
      </c>
      <c r="E479" s="6" t="s">
        <v>363</v>
      </c>
      <c r="F479" s="6" t="s">
        <v>730</v>
      </c>
      <c r="G479" s="6" t="s">
        <v>367</v>
      </c>
      <c r="H479" s="6"/>
      <c r="I479" s="26" t="n">
        <v>1</v>
      </c>
      <c r="J479" s="26" t="n">
        <f aca="false">COUNTIFS('Control Library'!$A$5:$A$50,"AI-CTRL-024",'Control Library'!$R$5:$R$50,"Implemented")</f>
        <v>0</v>
      </c>
      <c r="K479" s="43" t="str">
        <f aca="false">IF(I479=0,"No wiki control",IF(J479=I479,"Fully covered",IF(J479=0,"Not covered","Partly covered")))</f>
        <v>Not covered</v>
      </c>
      <c r="L479" s="9" t="s">
        <v>1703</v>
      </c>
    </row>
    <row r="480" customFormat="false" ht="23.85" hidden="false" customHeight="false" outlineLevel="0" collapsed="false">
      <c r="A480" s="51" t="s">
        <v>586</v>
      </c>
      <c r="B480" s="51" t="s">
        <v>584</v>
      </c>
      <c r="C480" s="5" t="s">
        <v>1866</v>
      </c>
      <c r="D480" s="6" t="s">
        <v>1867</v>
      </c>
      <c r="E480" s="6" t="s">
        <v>725</v>
      </c>
      <c r="F480" s="6" t="s">
        <v>730</v>
      </c>
      <c r="G480" s="6" t="s">
        <v>808</v>
      </c>
      <c r="H480" s="6"/>
      <c r="I480" s="26" t="n">
        <v>2</v>
      </c>
      <c r="J480" s="26" t="n">
        <f aca="false">COUNTIFS('Control Library'!$A$5:$A$50,"AI-CTRL-024",'Control Library'!$R$5:$R$50,"Implemented")+COUNTIFS('Control Library'!$A$5:$A$50,"AI-CTRL-031",'Control Library'!$R$5:$R$50,"Implemented")</f>
        <v>0</v>
      </c>
      <c r="K480" s="43" t="str">
        <f aca="false">IF(I480=0,"No wiki control",IF(J480=I480,"Fully covered",IF(J480=0,"Not covered","Partly covered")))</f>
        <v>Not covered</v>
      </c>
      <c r="L480" s="9" t="s">
        <v>1703</v>
      </c>
    </row>
    <row r="481" customFormat="false" ht="23.85" hidden="false" customHeight="false" outlineLevel="0" collapsed="false">
      <c r="A481" s="51" t="s">
        <v>586</v>
      </c>
      <c r="B481" s="51" t="s">
        <v>584</v>
      </c>
      <c r="C481" s="5" t="s">
        <v>1868</v>
      </c>
      <c r="D481" s="6" t="s">
        <v>1869</v>
      </c>
      <c r="E481" s="6" t="s">
        <v>428</v>
      </c>
      <c r="F481" s="6" t="s">
        <v>730</v>
      </c>
      <c r="G481" s="6" t="s">
        <v>431</v>
      </c>
      <c r="H481" s="6"/>
      <c r="I481" s="26" t="n">
        <v>1</v>
      </c>
      <c r="J481" s="26" t="n">
        <f aca="false">COUNTIFS('Control Library'!$A$5:$A$50,"AI-CTRL-032",'Control Library'!$R$5:$R$50,"Implemented")</f>
        <v>0</v>
      </c>
      <c r="K481" s="43" t="str">
        <f aca="false">IF(I481=0,"No wiki control",IF(J481=I481,"Fully covered",IF(J481=0,"Not covered","Partly covered")))</f>
        <v>Not covered</v>
      </c>
      <c r="L481" s="9" t="s">
        <v>1703</v>
      </c>
    </row>
    <row r="482" customFormat="false" ht="23.85" hidden="false" customHeight="false" outlineLevel="0" collapsed="false">
      <c r="A482" s="51" t="s">
        <v>586</v>
      </c>
      <c r="B482" s="51" t="s">
        <v>584</v>
      </c>
      <c r="C482" s="5" t="s">
        <v>1870</v>
      </c>
      <c r="D482" s="6" t="s">
        <v>1871</v>
      </c>
      <c r="E482" s="6" t="s">
        <v>428</v>
      </c>
      <c r="F482" s="6" t="s">
        <v>730</v>
      </c>
      <c r="G482" s="6" t="s">
        <v>431</v>
      </c>
      <c r="H482" s="6"/>
      <c r="I482" s="26" t="n">
        <v>1</v>
      </c>
      <c r="J482" s="26" t="n">
        <f aca="false">COUNTIFS('Control Library'!$A$5:$A$50,"AI-CTRL-032",'Control Library'!$R$5:$R$50,"Implemented")</f>
        <v>0</v>
      </c>
      <c r="K482" s="43" t="str">
        <f aca="false">IF(I482=0,"No wiki control",IF(J482=I482,"Fully covered",IF(J482=0,"Not covered","Partly covered")))</f>
        <v>Not covered</v>
      </c>
      <c r="L482" s="9" t="s">
        <v>1703</v>
      </c>
    </row>
    <row r="483" customFormat="false" ht="23.85" hidden="false" customHeight="false" outlineLevel="0" collapsed="false">
      <c r="A483" s="51" t="s">
        <v>586</v>
      </c>
      <c r="B483" s="51" t="s">
        <v>584</v>
      </c>
      <c r="C483" s="5" t="s">
        <v>1872</v>
      </c>
      <c r="D483" s="6" t="s">
        <v>1873</v>
      </c>
      <c r="E483" s="6" t="s">
        <v>1874</v>
      </c>
      <c r="F483" s="6" t="s">
        <v>730</v>
      </c>
      <c r="G483" s="6" t="s">
        <v>1875</v>
      </c>
      <c r="H483" s="6"/>
      <c r="I483" s="26" t="n">
        <v>2</v>
      </c>
      <c r="J483" s="26" t="n">
        <f aca="false">COUNTIFS('Control Library'!$A$5:$A$50,"AI-CTRL-027",'Control Library'!$R$5:$R$50,"Implemented")+COUNTIFS('Control Library'!$A$5:$A$50,"AI-CTRL-032",'Control Library'!$R$5:$R$50,"Implemented")</f>
        <v>0</v>
      </c>
      <c r="K483" s="43" t="str">
        <f aca="false">IF(I483=0,"No wiki control",IF(J483=I483,"Fully covered",IF(J483=0,"Not covered","Partly covered")))</f>
        <v>Not covered</v>
      </c>
      <c r="L483" s="9" t="s">
        <v>1703</v>
      </c>
    </row>
    <row r="484" customFormat="false" ht="23.85" hidden="false" customHeight="false" outlineLevel="0" collapsed="false">
      <c r="A484" s="51" t="s">
        <v>586</v>
      </c>
      <c r="B484" s="51" t="s">
        <v>584</v>
      </c>
      <c r="C484" s="5" t="s">
        <v>1876</v>
      </c>
      <c r="D484" s="6" t="s">
        <v>1877</v>
      </c>
      <c r="E484" s="6" t="s">
        <v>1878</v>
      </c>
      <c r="F484" s="6" t="s">
        <v>730</v>
      </c>
      <c r="G484" s="6" t="s">
        <v>251</v>
      </c>
      <c r="H484" s="6"/>
      <c r="I484" s="26" t="n">
        <v>2</v>
      </c>
      <c r="J484" s="26" t="n">
        <f aca="false">COUNTIFS('Control Library'!$A$5:$A$50,"AI-CTRL-001",'Control Library'!$R$5:$R$50,"Implemented")+COUNTIFS('Control Library'!$A$5:$A$50,"AI-CTRL-010",'Control Library'!$R$5:$R$50,"Implemented")</f>
        <v>0</v>
      </c>
      <c r="K484" s="43" t="str">
        <f aca="false">IF(I484=0,"No wiki control",IF(J484=I484,"Fully covered",IF(J484=0,"Not covered","Partly covered")))</f>
        <v>Not covered</v>
      </c>
      <c r="L484" s="9" t="s">
        <v>1703</v>
      </c>
    </row>
    <row r="485" customFormat="false" ht="23.85" hidden="false" customHeight="false" outlineLevel="0" collapsed="false">
      <c r="A485" s="51" t="s">
        <v>586</v>
      </c>
      <c r="B485" s="51" t="s">
        <v>584</v>
      </c>
      <c r="C485" s="5" t="s">
        <v>1879</v>
      </c>
      <c r="D485" s="6" t="s">
        <v>1880</v>
      </c>
      <c r="E485" s="6" t="s">
        <v>1425</v>
      </c>
      <c r="F485" s="6" t="s">
        <v>730</v>
      </c>
      <c r="G485" s="6" t="s">
        <v>783</v>
      </c>
      <c r="H485" s="6"/>
      <c r="I485" s="26" t="n">
        <v>3</v>
      </c>
      <c r="J485" s="26" t="n">
        <f aca="false">COUNTIFS('Control Library'!$A$5:$A$50,"AI-CTRL-017",'Control Library'!$R$5:$R$50,"Implemented")+COUNTIFS('Control Library'!$A$5:$A$50,"AI-CTRL-028",'Control Library'!$R$5:$R$50,"Implemented")+COUNTIFS('Control Library'!$A$5:$A$50,"AI-CTRL-032",'Control Library'!$R$5:$R$50,"Implemented")</f>
        <v>0</v>
      </c>
      <c r="K485" s="43" t="str">
        <f aca="false">IF(I485=0,"No wiki control",IF(J485=I485,"Fully covered",IF(J485=0,"Not covered","Partly covered")))</f>
        <v>Not covered</v>
      </c>
      <c r="L485" s="9" t="s">
        <v>1703</v>
      </c>
    </row>
    <row r="486" customFormat="false" ht="23.85" hidden="false" customHeight="false" outlineLevel="0" collapsed="false">
      <c r="A486" s="51" t="s">
        <v>586</v>
      </c>
      <c r="B486" s="51" t="s">
        <v>584</v>
      </c>
      <c r="C486" s="5" t="s">
        <v>1881</v>
      </c>
      <c r="D486" s="6" t="s">
        <v>1882</v>
      </c>
      <c r="E486" s="6" t="s">
        <v>1620</v>
      </c>
      <c r="F486" s="6" t="s">
        <v>730</v>
      </c>
      <c r="G486" s="6" t="s">
        <v>439</v>
      </c>
      <c r="H486" s="6"/>
      <c r="I486" s="26" t="n">
        <v>2</v>
      </c>
      <c r="J486" s="26" t="n">
        <f aca="false">COUNTIFS('Control Library'!$A$5:$A$50,"AI-CTRL-030",'Control Library'!$R$5:$R$50,"Implemented")+COUNTIFS('Control Library'!$A$5:$A$50,"AI-CTRL-033",'Control Library'!$R$5:$R$50,"Implemented")</f>
        <v>0</v>
      </c>
      <c r="K486" s="43" t="str">
        <f aca="false">IF(I486=0,"No wiki control",IF(J486=I486,"Fully covered",IF(J486=0,"Not covered","Partly covered")))</f>
        <v>Not covered</v>
      </c>
      <c r="L486" s="9" t="s">
        <v>1703</v>
      </c>
    </row>
    <row r="487" customFormat="false" ht="23.85" hidden="false" customHeight="false" outlineLevel="0" collapsed="false">
      <c r="A487" s="51" t="s">
        <v>586</v>
      </c>
      <c r="B487" s="51" t="s">
        <v>584</v>
      </c>
      <c r="C487" s="5" t="s">
        <v>1883</v>
      </c>
      <c r="D487" s="6" t="s">
        <v>1884</v>
      </c>
      <c r="E487" s="6" t="s">
        <v>1885</v>
      </c>
      <c r="F487" s="6" t="s">
        <v>730</v>
      </c>
      <c r="G487" s="6" t="s">
        <v>1886</v>
      </c>
      <c r="H487" s="6"/>
      <c r="I487" s="26" t="n">
        <v>3</v>
      </c>
      <c r="J487" s="26" t="n">
        <f aca="false">COUNTIFS('Control Library'!$A$5:$A$50,"AI-CTRL-005",'Control Library'!$R$5:$R$50,"Implemented")+COUNTIFS('Control Library'!$A$5:$A$50,"AI-CTRL-020",'Control Library'!$R$5:$R$50,"Implemented")+COUNTIFS('Control Library'!$A$5:$A$50,"AI-CTRL-021",'Control Library'!$R$5:$R$50,"Implemented")</f>
        <v>0</v>
      </c>
      <c r="K487" s="43" t="str">
        <f aca="false">IF(I487=0,"No wiki control",IF(J487=I487,"Fully covered",IF(J487=0,"Not covered","Partly covered")))</f>
        <v>Not covered</v>
      </c>
      <c r="L487" s="9" t="s">
        <v>1703</v>
      </c>
    </row>
    <row r="488" customFormat="false" ht="46.25" hidden="false" customHeight="false" outlineLevel="0" collapsed="false">
      <c r="A488" s="51" t="s">
        <v>586</v>
      </c>
      <c r="B488" s="51" t="s">
        <v>584</v>
      </c>
      <c r="C488" s="5" t="s">
        <v>1887</v>
      </c>
      <c r="D488" s="6" t="s">
        <v>1888</v>
      </c>
      <c r="E488" s="6" t="s">
        <v>1889</v>
      </c>
      <c r="F488" s="6" t="s">
        <v>730</v>
      </c>
      <c r="G488" s="6" t="s">
        <v>1890</v>
      </c>
      <c r="H488" s="6"/>
      <c r="I488" s="26" t="n">
        <v>3</v>
      </c>
      <c r="J488" s="26" t="n">
        <f aca="false">COUNTIFS('Control Library'!$A$5:$A$50,"AI-CTRL-005",'Control Library'!$R$5:$R$50,"Implemented")+COUNTIFS('Control Library'!$A$5:$A$50,"AI-CTRL-027",'Control Library'!$R$5:$R$50,"Implemented")+COUNTIFS('Control Library'!$A$5:$A$50,"AI-CTRL-033",'Control Library'!$R$5:$R$50,"Implemented")</f>
        <v>0</v>
      </c>
      <c r="K488" s="43" t="str">
        <f aca="false">IF(I488=0,"No wiki control",IF(J488=I488,"Fully covered",IF(J488=0,"Not covered","Partly covered")))</f>
        <v>Not covered</v>
      </c>
      <c r="L488" s="9" t="s">
        <v>1703</v>
      </c>
    </row>
    <row r="489" customFormat="false" ht="23.85" hidden="false" customHeight="false" outlineLevel="0" collapsed="false">
      <c r="A489" s="51" t="s">
        <v>586</v>
      </c>
      <c r="B489" s="51" t="s">
        <v>584</v>
      </c>
      <c r="C489" s="5" t="s">
        <v>1891</v>
      </c>
      <c r="D489" s="6" t="s">
        <v>1892</v>
      </c>
      <c r="E489" s="6" t="s">
        <v>1893</v>
      </c>
      <c r="F489" s="6" t="s">
        <v>730</v>
      </c>
      <c r="G489" s="6" t="s">
        <v>1894</v>
      </c>
      <c r="H489" s="6"/>
      <c r="I489" s="26" t="n">
        <v>2</v>
      </c>
      <c r="J489" s="26" t="n">
        <f aca="false">COUNTIFS('Control Library'!$A$5:$A$50,"AI-CTRL-004",'Control Library'!$R$5:$R$50,"Implemented")+COUNTIFS('Control Library'!$A$5:$A$50,"AI-CTRL-020",'Control Library'!$R$5:$R$50,"Implemented")</f>
        <v>0</v>
      </c>
      <c r="K489" s="43" t="str">
        <f aca="false">IF(I489=0,"No wiki control",IF(J489=I489,"Fully covered",IF(J489=0,"Not covered","Partly covered")))</f>
        <v>Not covered</v>
      </c>
      <c r="L489" s="9" t="s">
        <v>1703</v>
      </c>
    </row>
    <row r="490" customFormat="false" ht="35.05" hidden="false" customHeight="false" outlineLevel="0" collapsed="false">
      <c r="A490" s="51" t="s">
        <v>586</v>
      </c>
      <c r="B490" s="51" t="s">
        <v>584</v>
      </c>
      <c r="C490" s="5" t="s">
        <v>1895</v>
      </c>
      <c r="D490" s="6" t="s">
        <v>1896</v>
      </c>
      <c r="E490" s="6" t="s">
        <v>1897</v>
      </c>
      <c r="F490" s="6" t="s">
        <v>730</v>
      </c>
      <c r="G490" s="6" t="s">
        <v>760</v>
      </c>
      <c r="H490" s="6"/>
      <c r="I490" s="26" t="n">
        <v>3</v>
      </c>
      <c r="J490" s="26" t="n">
        <f aca="false">COUNTIFS('Control Library'!$A$5:$A$50,"AI-CTRL-030",'Control Library'!$R$5:$R$50,"Implemented")+COUNTIFS('Control Library'!$A$5:$A$50,"AI-CTRL-033",'Control Library'!$R$5:$R$50,"Implemented")+COUNTIFS('Control Library'!$A$5:$A$50,"AI-CTRL-034",'Control Library'!$R$5:$R$50,"Implemented")</f>
        <v>0</v>
      </c>
      <c r="K490" s="43" t="str">
        <f aca="false">IF(I490=0,"No wiki control",IF(J490=I490,"Fully covered",IF(J490=0,"Not covered","Partly covered")))</f>
        <v>Not covered</v>
      </c>
      <c r="L490" s="9" t="s">
        <v>1703</v>
      </c>
    </row>
    <row r="491" customFormat="false" ht="23.85" hidden="false" customHeight="false" outlineLevel="0" collapsed="false">
      <c r="A491" s="51" t="s">
        <v>586</v>
      </c>
      <c r="B491" s="51" t="s">
        <v>584</v>
      </c>
      <c r="C491" s="5" t="s">
        <v>1898</v>
      </c>
      <c r="D491" s="6" t="s">
        <v>1899</v>
      </c>
      <c r="E491" s="6" t="s">
        <v>420</v>
      </c>
      <c r="F491" s="6" t="s">
        <v>730</v>
      </c>
      <c r="G491" s="6" t="s">
        <v>424</v>
      </c>
      <c r="H491" s="6"/>
      <c r="I491" s="26" t="n">
        <v>1</v>
      </c>
      <c r="J491" s="26" t="n">
        <f aca="false">COUNTIFS('Control Library'!$A$5:$A$50,"AI-CTRL-031",'Control Library'!$R$5:$R$50,"Implemented")</f>
        <v>0</v>
      </c>
      <c r="K491" s="43" t="str">
        <f aca="false">IF(I491=0,"No wiki control",IF(J491=I491,"Fully covered",IF(J491=0,"Not covered","Partly covered")))</f>
        <v>Not covered</v>
      </c>
      <c r="L491" s="9" t="s">
        <v>1703</v>
      </c>
    </row>
    <row r="492" customFormat="false" ht="23.85" hidden="false" customHeight="false" outlineLevel="0" collapsed="false">
      <c r="A492" s="51" t="s">
        <v>586</v>
      </c>
      <c r="B492" s="51" t="s">
        <v>584</v>
      </c>
      <c r="C492" s="5" t="s">
        <v>1900</v>
      </c>
      <c r="D492" s="6" t="s">
        <v>1901</v>
      </c>
      <c r="E492" s="6" t="s">
        <v>1902</v>
      </c>
      <c r="F492" s="6" t="s">
        <v>730</v>
      </c>
      <c r="G492" s="6" t="s">
        <v>1903</v>
      </c>
      <c r="H492" s="6"/>
      <c r="I492" s="26" t="n">
        <v>2</v>
      </c>
      <c r="J492" s="26" t="n">
        <f aca="false">COUNTIFS('Control Library'!$A$5:$A$50,"AI-CTRL-027",'Control Library'!$R$5:$R$50,"Implemented")+COUNTIFS('Control Library'!$A$5:$A$50,"AI-CTRL-030",'Control Library'!$R$5:$R$50,"Implemented")</f>
        <v>0</v>
      </c>
      <c r="K492" s="43" t="str">
        <f aca="false">IF(I492=0,"No wiki control",IF(J492=I492,"Fully covered",IF(J492=0,"Not covered","Partly covered")))</f>
        <v>Not covered</v>
      </c>
      <c r="L492" s="9" t="s">
        <v>1703</v>
      </c>
    </row>
    <row r="493" customFormat="false" ht="35.05" hidden="false" customHeight="false" outlineLevel="0" collapsed="false">
      <c r="A493" s="51" t="s">
        <v>586</v>
      </c>
      <c r="B493" s="51" t="s">
        <v>584</v>
      </c>
      <c r="C493" s="5" t="s">
        <v>1904</v>
      </c>
      <c r="D493" s="6" t="s">
        <v>1905</v>
      </c>
      <c r="E493" s="6" t="s">
        <v>1906</v>
      </c>
      <c r="F493" s="6" t="s">
        <v>730</v>
      </c>
      <c r="G493" s="6" t="s">
        <v>1907</v>
      </c>
      <c r="H493" s="6"/>
      <c r="I493" s="26" t="n">
        <v>4</v>
      </c>
      <c r="J493" s="26" t="n">
        <f aca="false">COUNTIFS('Control Library'!$A$5:$A$50,"AI-CTRL-019",'Control Library'!$R$5:$R$50,"Implemented")+COUNTIFS('Control Library'!$A$5:$A$50,"AI-CTRL-024",'Control Library'!$R$5:$R$50,"Implemented")+COUNTIFS('Control Library'!$A$5:$A$50,"AI-CTRL-030",'Control Library'!$R$5:$R$50,"Implemented")+COUNTIFS('Control Library'!$A$5:$A$50,"AI-CTRL-033",'Control Library'!$R$5:$R$50,"Implemented")</f>
        <v>0</v>
      </c>
      <c r="K493" s="43" t="str">
        <f aca="false">IF(I493=0,"No wiki control",IF(J493=I493,"Fully covered",IF(J493=0,"Not covered","Partly covered")))</f>
        <v>Not covered</v>
      </c>
      <c r="L493" s="9" t="s">
        <v>1703</v>
      </c>
    </row>
    <row r="494" customFormat="false" ht="23.85" hidden="false" customHeight="false" outlineLevel="0" collapsed="false">
      <c r="A494" s="51" t="s">
        <v>586</v>
      </c>
      <c r="B494" s="51" t="s">
        <v>584</v>
      </c>
      <c r="C494" s="5" t="s">
        <v>1908</v>
      </c>
      <c r="D494" s="6" t="s">
        <v>1909</v>
      </c>
      <c r="E494" s="6" t="s">
        <v>1910</v>
      </c>
      <c r="F494" s="6" t="s">
        <v>730</v>
      </c>
      <c r="G494" s="6" t="s">
        <v>1557</v>
      </c>
      <c r="H494" s="6"/>
      <c r="I494" s="26" t="n">
        <v>2</v>
      </c>
      <c r="J494" s="26" t="n">
        <f aca="false">COUNTIFS('Control Library'!$A$5:$A$50,"AI-CTRL-017",'Control Library'!$R$5:$R$50,"Implemented")+COUNTIFS('Control Library'!$A$5:$A$50,"AI-CTRL-029",'Control Library'!$R$5:$R$50,"Implemented")</f>
        <v>0</v>
      </c>
      <c r="K494" s="43" t="str">
        <f aca="false">IF(I494=0,"No wiki control",IF(J494=I494,"Fully covered",IF(J494=0,"Not covered","Partly covered")))</f>
        <v>Not covered</v>
      </c>
      <c r="L494" s="9" t="s">
        <v>1703</v>
      </c>
    </row>
    <row r="495" customFormat="false" ht="23.85" hidden="false" customHeight="false" outlineLevel="0" collapsed="false">
      <c r="A495" s="51" t="s">
        <v>586</v>
      </c>
      <c r="B495" s="51" t="s">
        <v>584</v>
      </c>
      <c r="C495" s="5" t="s">
        <v>1911</v>
      </c>
      <c r="D495" s="6" t="s">
        <v>1912</v>
      </c>
      <c r="E495" s="6" t="s">
        <v>444</v>
      </c>
      <c r="F495" s="6" t="s">
        <v>730</v>
      </c>
      <c r="G495" s="6" t="s">
        <v>447</v>
      </c>
      <c r="H495" s="6"/>
      <c r="I495" s="26" t="n">
        <v>1</v>
      </c>
      <c r="J495" s="26" t="n">
        <f aca="false">COUNTIFS('Control Library'!$A$5:$A$50,"AI-CTRL-034",'Control Library'!$R$5:$R$50,"Implemented")</f>
        <v>0</v>
      </c>
      <c r="K495" s="43" t="str">
        <f aca="false">IF(I495=0,"No wiki control",IF(J495=I495,"Fully covered",IF(J495=0,"Not covered","Partly covered")))</f>
        <v>Not covered</v>
      </c>
      <c r="L495" s="9" t="s">
        <v>1703</v>
      </c>
    </row>
    <row r="496" customFormat="false" ht="23.85" hidden="false" customHeight="false" outlineLevel="0" collapsed="false">
      <c r="A496" s="51" t="s">
        <v>587</v>
      </c>
      <c r="B496" s="51" t="s">
        <v>584</v>
      </c>
      <c r="C496" s="5" t="s">
        <v>1685</v>
      </c>
      <c r="D496" s="6" t="s">
        <v>1913</v>
      </c>
      <c r="E496" s="6" t="s">
        <v>470</v>
      </c>
      <c r="F496" s="6" t="s">
        <v>730</v>
      </c>
      <c r="G496" s="6" t="s">
        <v>473</v>
      </c>
      <c r="H496" s="6"/>
      <c r="I496" s="26" t="n">
        <v>1</v>
      </c>
      <c r="J496" s="26" t="n">
        <f aca="false">COUNTIFS('Control Library'!$A$5:$A$50,"AI-CTRL-037",'Control Library'!$R$5:$R$50,"Implemented")</f>
        <v>0</v>
      </c>
      <c r="K496" s="43" t="str">
        <f aca="false">IF(I496=0,"No wiki control",IF(J496=I496,"Fully covered",IF(J496=0,"Not covered","Partly covered")))</f>
        <v>Not covered</v>
      </c>
      <c r="L496" s="9" t="s">
        <v>1703</v>
      </c>
    </row>
    <row r="497" customFormat="false" ht="23.85" hidden="false" customHeight="false" outlineLevel="0" collapsed="false">
      <c r="A497" s="51" t="s">
        <v>587</v>
      </c>
      <c r="B497" s="51" t="s">
        <v>584</v>
      </c>
      <c r="C497" s="5" t="s">
        <v>1687</v>
      </c>
      <c r="D497" s="6" t="s">
        <v>1914</v>
      </c>
      <c r="E497" s="6" t="s">
        <v>470</v>
      </c>
      <c r="F497" s="6" t="s">
        <v>730</v>
      </c>
      <c r="G497" s="6" t="s">
        <v>473</v>
      </c>
      <c r="H497" s="6"/>
      <c r="I497" s="26" t="n">
        <v>1</v>
      </c>
      <c r="J497" s="26" t="n">
        <f aca="false">COUNTIFS('Control Library'!$A$5:$A$50,"AI-CTRL-037",'Control Library'!$R$5:$R$50,"Implemented")</f>
        <v>0</v>
      </c>
      <c r="K497" s="43" t="str">
        <f aca="false">IF(I497=0,"No wiki control",IF(J497=I497,"Fully covered",IF(J497=0,"Not covered","Partly covered")))</f>
        <v>Not covered</v>
      </c>
      <c r="L497" s="9" t="s">
        <v>1703</v>
      </c>
    </row>
    <row r="498" customFormat="false" ht="23.85" hidden="false" customHeight="false" outlineLevel="0" collapsed="false">
      <c r="A498" s="51" t="s">
        <v>587</v>
      </c>
      <c r="B498" s="51" t="s">
        <v>584</v>
      </c>
      <c r="C498" s="5" t="s">
        <v>1695</v>
      </c>
      <c r="D498" s="6" t="s">
        <v>1696</v>
      </c>
      <c r="E498" s="6" t="s">
        <v>478</v>
      </c>
      <c r="F498" s="6" t="s">
        <v>730</v>
      </c>
      <c r="G498" s="6" t="s">
        <v>481</v>
      </c>
      <c r="H498" s="6"/>
      <c r="I498" s="26" t="n">
        <v>1</v>
      </c>
      <c r="J498" s="26" t="n">
        <f aca="false">COUNTIFS('Control Library'!$A$5:$A$50,"AI-CTRL-038",'Control Library'!$R$5:$R$50,"Implemented")</f>
        <v>0</v>
      </c>
      <c r="K498" s="43" t="str">
        <f aca="false">IF(I498=0,"No wiki control",IF(J498=I498,"Fully covered",IF(J498=0,"Not covered","Partly covered")))</f>
        <v>Not covered</v>
      </c>
      <c r="L498" s="9" t="s">
        <v>1703</v>
      </c>
    </row>
    <row r="499" customFormat="false" ht="23.85" hidden="false" customHeight="false" outlineLevel="0" collapsed="false">
      <c r="A499" s="51" t="s">
        <v>588</v>
      </c>
      <c r="B499" s="51" t="s">
        <v>584</v>
      </c>
      <c r="C499" s="5" t="s">
        <v>1915</v>
      </c>
      <c r="D499" s="6" t="s">
        <v>1916</v>
      </c>
      <c r="E499" s="6" t="s">
        <v>263</v>
      </c>
      <c r="F499" s="6" t="s">
        <v>730</v>
      </c>
      <c r="G499" s="6" t="s">
        <v>266</v>
      </c>
      <c r="H499" s="6"/>
      <c r="I499" s="26" t="n">
        <v>1</v>
      </c>
      <c r="J499" s="26" t="n">
        <f aca="false">COUNTIFS('Control Library'!$A$5:$A$50,"AI-CTRL-012",'Control Library'!$R$5:$R$50,"Implemented")</f>
        <v>0</v>
      </c>
      <c r="K499" s="43" t="str">
        <f aca="false">IF(I499=0,"No wiki control",IF(J499=I499,"Fully covered",IF(J499=0,"Not covered","Partly covered")))</f>
        <v>Not covered</v>
      </c>
      <c r="L499" s="9" t="s">
        <v>1917</v>
      </c>
    </row>
    <row r="500" customFormat="false" ht="23.85" hidden="false" customHeight="false" outlineLevel="0" collapsed="false">
      <c r="A500" s="51" t="s">
        <v>588</v>
      </c>
      <c r="B500" s="51" t="s">
        <v>584</v>
      </c>
      <c r="C500" s="5" t="s">
        <v>1918</v>
      </c>
      <c r="D500" s="6" t="s">
        <v>1919</v>
      </c>
      <c r="E500" s="6"/>
      <c r="F500" s="6" t="s">
        <v>640</v>
      </c>
      <c r="G500" s="6"/>
      <c r="H500" s="6"/>
      <c r="I500" s="26" t="n">
        <v>0</v>
      </c>
      <c r="J500" s="26" t="n">
        <f aca="false">0</f>
        <v>0</v>
      </c>
      <c r="K500" s="43" t="str">
        <f aca="false">IF(I500=0,"No wiki control",IF(J500=I500,"Fully covered",IF(J500=0,"Not covered","Partly covered")))</f>
        <v>No wiki control</v>
      </c>
      <c r="L500" s="9" t="s">
        <v>1917</v>
      </c>
    </row>
    <row r="501" customFormat="false" ht="23.85" hidden="false" customHeight="false" outlineLevel="0" collapsed="false">
      <c r="A501" s="51" t="s">
        <v>588</v>
      </c>
      <c r="B501" s="51" t="s">
        <v>584</v>
      </c>
      <c r="C501" s="5" t="s">
        <v>1920</v>
      </c>
      <c r="D501" s="6" t="s">
        <v>1921</v>
      </c>
      <c r="E501" s="6"/>
      <c r="F501" s="6" t="s">
        <v>640</v>
      </c>
      <c r="G501" s="6"/>
      <c r="H501" s="6"/>
      <c r="I501" s="26" t="n">
        <v>0</v>
      </c>
      <c r="J501" s="26" t="n">
        <f aca="false">0</f>
        <v>0</v>
      </c>
      <c r="K501" s="43" t="str">
        <f aca="false">IF(I501=0,"No wiki control",IF(J501=I501,"Fully covered",IF(J501=0,"Not covered","Partly covered")))</f>
        <v>No wiki control</v>
      </c>
      <c r="L501" s="9" t="s">
        <v>1917</v>
      </c>
    </row>
    <row r="502" customFormat="false" ht="23.85" hidden="false" customHeight="false" outlineLevel="0" collapsed="false">
      <c r="A502" s="51" t="s">
        <v>588</v>
      </c>
      <c r="B502" s="51" t="s">
        <v>584</v>
      </c>
      <c r="C502" s="5" t="s">
        <v>1922</v>
      </c>
      <c r="D502" s="6" t="s">
        <v>1923</v>
      </c>
      <c r="E502" s="6"/>
      <c r="F502" s="6" t="s">
        <v>640</v>
      </c>
      <c r="G502" s="6"/>
      <c r="H502" s="6"/>
      <c r="I502" s="26" t="n">
        <v>0</v>
      </c>
      <c r="J502" s="26" t="n">
        <f aca="false">0</f>
        <v>0</v>
      </c>
      <c r="K502" s="43" t="str">
        <f aca="false">IF(I502=0,"No wiki control",IF(J502=I502,"Fully covered",IF(J502=0,"Not covered","Partly covered")))</f>
        <v>No wiki control</v>
      </c>
      <c r="L502" s="9" t="s">
        <v>1917</v>
      </c>
    </row>
    <row r="503" customFormat="false" ht="23.85" hidden="false" customHeight="false" outlineLevel="0" collapsed="false">
      <c r="A503" s="51" t="s">
        <v>589</v>
      </c>
      <c r="B503" s="51" t="s">
        <v>584</v>
      </c>
      <c r="C503" s="5" t="s">
        <v>1924</v>
      </c>
      <c r="D503" s="6" t="s">
        <v>1925</v>
      </c>
      <c r="E503" s="6" t="s">
        <v>513</v>
      </c>
      <c r="F503" s="6" t="s">
        <v>730</v>
      </c>
      <c r="G503" s="6" t="s">
        <v>516</v>
      </c>
      <c r="H503" s="6"/>
      <c r="I503" s="26" t="n">
        <v>1</v>
      </c>
      <c r="J503" s="26" t="n">
        <f aca="false">COUNTIFS('Control Library'!$A$5:$A$50,"AI-CTRL-042",'Control Library'!$R$5:$R$50,"Implemented")</f>
        <v>0</v>
      </c>
      <c r="K503" s="43" t="str">
        <f aca="false">IF(I503=0,"No wiki control",IF(J503=I503,"Fully covered",IF(J503=0,"Not covered","Partly covered")))</f>
        <v>Not covered</v>
      </c>
      <c r="L503" s="9" t="s">
        <v>1917</v>
      </c>
    </row>
    <row r="504" customFormat="false" ht="46.25" hidden="false" customHeight="false" outlineLevel="0" collapsed="false">
      <c r="A504" s="51" t="s">
        <v>589</v>
      </c>
      <c r="B504" s="51" t="s">
        <v>584</v>
      </c>
      <c r="C504" s="5" t="s">
        <v>1926</v>
      </c>
      <c r="D504" s="6" t="s">
        <v>1927</v>
      </c>
      <c r="E504" s="6" t="s">
        <v>1070</v>
      </c>
      <c r="F504" s="6" t="s">
        <v>730</v>
      </c>
      <c r="G504" s="6" t="s">
        <v>1071</v>
      </c>
      <c r="H504" s="6"/>
      <c r="I504" s="26" t="n">
        <v>2</v>
      </c>
      <c r="J504" s="26" t="n">
        <f aca="false">COUNTIFS('Control Library'!$A$5:$A$50,"AI-CTRL-011",'Control Library'!$R$5:$R$50,"Implemented")+COUNTIFS('Control Library'!$A$5:$A$50,"AI-CTRL-042",'Control Library'!$R$5:$R$50,"Implemented")</f>
        <v>0</v>
      </c>
      <c r="K504" s="43" t="str">
        <f aca="false">IF(I504=0,"No wiki control",IF(J504=I504,"Fully covered",IF(J504=0,"Not covered","Partly covered")))</f>
        <v>Not covered</v>
      </c>
      <c r="L504" s="9" t="s">
        <v>1917</v>
      </c>
    </row>
    <row r="505" customFormat="false" ht="46.25" hidden="false" customHeight="false" outlineLevel="0" collapsed="false">
      <c r="A505" s="51" t="s">
        <v>589</v>
      </c>
      <c r="B505" s="51" t="s">
        <v>584</v>
      </c>
      <c r="C505" s="5" t="s">
        <v>1928</v>
      </c>
      <c r="D505" s="6" t="s">
        <v>1929</v>
      </c>
      <c r="E505" s="6" t="s">
        <v>513</v>
      </c>
      <c r="F505" s="6" t="s">
        <v>730</v>
      </c>
      <c r="G505" s="6" t="s">
        <v>516</v>
      </c>
      <c r="H505" s="6"/>
      <c r="I505" s="26" t="n">
        <v>1</v>
      </c>
      <c r="J505" s="26" t="n">
        <f aca="false">COUNTIFS('Control Library'!$A$5:$A$50,"AI-CTRL-042",'Control Library'!$R$5:$R$50,"Implemented")</f>
        <v>0</v>
      </c>
      <c r="K505" s="43" t="str">
        <f aca="false">IF(I505=0,"No wiki control",IF(J505=I505,"Fully covered",IF(J505=0,"Not covered","Partly covered")))</f>
        <v>Not covered</v>
      </c>
      <c r="L505" s="9" t="s">
        <v>1917</v>
      </c>
    </row>
    <row r="506" customFormat="false" ht="23.85" hidden="false" customHeight="false" outlineLevel="0" collapsed="false">
      <c r="A506" s="51" t="s">
        <v>589</v>
      </c>
      <c r="B506" s="51" t="s">
        <v>584</v>
      </c>
      <c r="C506" s="5" t="s">
        <v>1930</v>
      </c>
      <c r="D506" s="6" t="s">
        <v>1930</v>
      </c>
      <c r="E506" s="6" t="s">
        <v>513</v>
      </c>
      <c r="F506" s="6" t="s">
        <v>730</v>
      </c>
      <c r="G506" s="6" t="s">
        <v>516</v>
      </c>
      <c r="H506" s="6"/>
      <c r="I506" s="26" t="n">
        <v>1</v>
      </c>
      <c r="J506" s="26" t="n">
        <f aca="false">COUNTIFS('Control Library'!$A$5:$A$50,"AI-CTRL-042",'Control Library'!$R$5:$R$50,"Implemented")</f>
        <v>0</v>
      </c>
      <c r="K506" s="43" t="str">
        <f aca="false">IF(I506=0,"No wiki control",IF(J506=I506,"Fully covered",IF(J506=0,"Not covered","Partly covered")))</f>
        <v>Not covered</v>
      </c>
      <c r="L506" s="9" t="s">
        <v>1917</v>
      </c>
    </row>
    <row r="507" customFormat="false" ht="23.85" hidden="false" customHeight="false" outlineLevel="0" collapsed="false">
      <c r="A507" s="51" t="s">
        <v>589</v>
      </c>
      <c r="B507" s="51" t="s">
        <v>584</v>
      </c>
      <c r="C507" s="5" t="s">
        <v>1931</v>
      </c>
      <c r="D507" s="6" t="s">
        <v>1931</v>
      </c>
      <c r="E507" s="6" t="s">
        <v>1932</v>
      </c>
      <c r="F507" s="6" t="s">
        <v>730</v>
      </c>
      <c r="G507" s="6" t="s">
        <v>1933</v>
      </c>
      <c r="H507" s="6"/>
      <c r="I507" s="26" t="n">
        <v>2</v>
      </c>
      <c r="J507" s="26" t="n">
        <f aca="false">COUNTIFS('Control Library'!$A$5:$A$50,"AI-CTRL-029",'Control Library'!$R$5:$R$50,"Implemented")+COUNTIFS('Control Library'!$A$5:$A$50,"AI-CTRL-042",'Control Library'!$R$5:$R$50,"Implemented")</f>
        <v>0</v>
      </c>
      <c r="K507" s="43" t="str">
        <f aca="false">IF(I507=0,"No wiki control",IF(J507=I507,"Fully covered",IF(J507=0,"Not covered","Partly covered")))</f>
        <v>Not covered</v>
      </c>
      <c r="L507" s="9" t="s">
        <v>1917</v>
      </c>
    </row>
    <row r="508" customFormat="false" ht="46.25" hidden="false" customHeight="false" outlineLevel="0" collapsed="false">
      <c r="A508" s="51" t="s">
        <v>589</v>
      </c>
      <c r="B508" s="51" t="s">
        <v>584</v>
      </c>
      <c r="C508" s="5" t="s">
        <v>1934</v>
      </c>
      <c r="D508" s="6" t="s">
        <v>1935</v>
      </c>
      <c r="E508" s="6" t="s">
        <v>1936</v>
      </c>
      <c r="F508" s="6" t="s">
        <v>730</v>
      </c>
      <c r="G508" s="6" t="s">
        <v>516</v>
      </c>
      <c r="H508" s="6"/>
      <c r="I508" s="26" t="n">
        <v>2</v>
      </c>
      <c r="J508" s="26" t="n">
        <f aca="false">COUNTIFS('Control Library'!$A$5:$A$50,"AI-CTRL-007",'Control Library'!$R$5:$R$50,"Implemented")+COUNTIFS('Control Library'!$A$5:$A$50,"AI-CTRL-042",'Control Library'!$R$5:$R$50,"Implemented")</f>
        <v>0</v>
      </c>
      <c r="K508" s="43" t="str">
        <f aca="false">IF(I508=0,"No wiki control",IF(J508=I508,"Fully covered",IF(J508=0,"Not covered","Partly covered")))</f>
        <v>Not covered</v>
      </c>
      <c r="L508" s="9" t="s">
        <v>1917</v>
      </c>
    </row>
    <row r="509" customFormat="false" ht="35.05" hidden="false" customHeight="false" outlineLevel="0" collapsed="false">
      <c r="A509" s="51" t="s">
        <v>589</v>
      </c>
      <c r="B509" s="51" t="s">
        <v>584</v>
      </c>
      <c r="C509" s="5" t="s">
        <v>1937</v>
      </c>
      <c r="D509" s="6" t="s">
        <v>1937</v>
      </c>
      <c r="E509" s="6" t="s">
        <v>513</v>
      </c>
      <c r="F509" s="6" t="s">
        <v>730</v>
      </c>
      <c r="G509" s="6" t="s">
        <v>516</v>
      </c>
      <c r="H509" s="6"/>
      <c r="I509" s="26" t="n">
        <v>1</v>
      </c>
      <c r="J509" s="26" t="n">
        <f aca="false">COUNTIFS('Control Library'!$A$5:$A$50,"AI-CTRL-042",'Control Library'!$R$5:$R$50,"Implemented")</f>
        <v>0</v>
      </c>
      <c r="K509" s="43" t="str">
        <f aca="false">IF(I509=0,"No wiki control",IF(J509=I509,"Fully covered",IF(J509=0,"Not covered","Partly covered")))</f>
        <v>Not covered</v>
      </c>
      <c r="L509" s="9" t="s">
        <v>1917</v>
      </c>
    </row>
    <row r="510" customFormat="false" ht="23.85" hidden="false" customHeight="false" outlineLevel="0" collapsed="false">
      <c r="A510" s="51" t="s">
        <v>589</v>
      </c>
      <c r="B510" s="51" t="s">
        <v>584</v>
      </c>
      <c r="C510" s="5" t="s">
        <v>1938</v>
      </c>
      <c r="D510" s="6" t="s">
        <v>1938</v>
      </c>
      <c r="E510" s="6" t="s">
        <v>1939</v>
      </c>
      <c r="F510" s="6" t="s">
        <v>730</v>
      </c>
      <c r="G510" s="6" t="s">
        <v>1940</v>
      </c>
      <c r="H510" s="6"/>
      <c r="I510" s="26" t="n">
        <v>2</v>
      </c>
      <c r="J510" s="26" t="n">
        <f aca="false">COUNTIFS('Control Library'!$A$5:$A$50,"AI-CTRL-041",'Control Library'!$R$5:$R$50,"Implemented")+COUNTIFS('Control Library'!$A$5:$A$50,"AI-CTRL-042",'Control Library'!$R$5:$R$50,"Implemented")</f>
        <v>0</v>
      </c>
      <c r="K510" s="43" t="str">
        <f aca="false">IF(I510=0,"No wiki control",IF(J510=I510,"Fully covered",IF(J510=0,"Not covered","Partly covered")))</f>
        <v>Not covered</v>
      </c>
      <c r="L510" s="9" t="s">
        <v>1917</v>
      </c>
    </row>
    <row r="511" customFormat="false" ht="35.05" hidden="false" customHeight="false" outlineLevel="0" collapsed="false">
      <c r="A511" s="51" t="s">
        <v>589</v>
      </c>
      <c r="B511" s="51" t="s">
        <v>584</v>
      </c>
      <c r="C511" s="5" t="s">
        <v>1941</v>
      </c>
      <c r="D511" s="6" t="s">
        <v>1942</v>
      </c>
      <c r="E511" s="6"/>
      <c r="F511" s="6" t="s">
        <v>640</v>
      </c>
      <c r="G511" s="6"/>
      <c r="H511" s="6"/>
      <c r="I511" s="26" t="n">
        <v>0</v>
      </c>
      <c r="J511" s="26" t="n">
        <f aca="false">0</f>
        <v>0</v>
      </c>
      <c r="K511" s="43" t="str">
        <f aca="false">IF(I511=0,"No wiki control",IF(J511=I511,"Fully covered",IF(J511=0,"Not covered","Partly covered")))</f>
        <v>No wiki control</v>
      </c>
      <c r="L511" s="9" t="s">
        <v>1917</v>
      </c>
    </row>
    <row r="512" customFormat="false" ht="23.85" hidden="false" customHeight="false" outlineLevel="0" collapsed="false">
      <c r="A512" s="51" t="s">
        <v>590</v>
      </c>
      <c r="B512" s="51" t="s">
        <v>584</v>
      </c>
      <c r="C512" s="5" t="s">
        <v>1943</v>
      </c>
      <c r="D512" s="6" t="s">
        <v>1944</v>
      </c>
      <c r="E512" s="6" t="s">
        <v>1945</v>
      </c>
      <c r="F512" s="6" t="s">
        <v>730</v>
      </c>
      <c r="G512" s="6" t="s">
        <v>1946</v>
      </c>
      <c r="H512" s="6"/>
      <c r="I512" s="26" t="n">
        <v>2</v>
      </c>
      <c r="J512" s="26" t="n">
        <f aca="false">COUNTIFS('Control Library'!$A$5:$A$50,"AI-CTRL-011",'Control Library'!$R$5:$R$50,"Implemented")+COUNTIFS('Control Library'!$A$5:$A$50,"AI-CTRL-014",'Control Library'!$R$5:$R$50,"Implemented")</f>
        <v>0</v>
      </c>
      <c r="K512" s="43" t="str">
        <f aca="false">IF(I512=0,"No wiki control",IF(J512=I512,"Fully covered",IF(J512=0,"Not covered","Partly covered")))</f>
        <v>Not covered</v>
      </c>
      <c r="L512" s="9" t="s">
        <v>1917</v>
      </c>
    </row>
    <row r="513" customFormat="false" ht="35.05" hidden="false" customHeight="false" outlineLevel="0" collapsed="false">
      <c r="A513" s="51" t="s">
        <v>590</v>
      </c>
      <c r="B513" s="51" t="s">
        <v>584</v>
      </c>
      <c r="C513" s="5" t="s">
        <v>1947</v>
      </c>
      <c r="D513" s="6" t="s">
        <v>1948</v>
      </c>
      <c r="E513" s="6" t="s">
        <v>478</v>
      </c>
      <c r="F513" s="6" t="s">
        <v>730</v>
      </c>
      <c r="G513" s="6" t="s">
        <v>481</v>
      </c>
      <c r="H513" s="6"/>
      <c r="I513" s="26" t="n">
        <v>1</v>
      </c>
      <c r="J513" s="26" t="n">
        <f aca="false">COUNTIFS('Control Library'!$A$5:$A$50,"AI-CTRL-038",'Control Library'!$R$5:$R$50,"Implemented")</f>
        <v>0</v>
      </c>
      <c r="K513" s="43" t="str">
        <f aca="false">IF(I513=0,"No wiki control",IF(J513=I513,"Fully covered",IF(J513=0,"Not covered","Partly covered")))</f>
        <v>Not covered</v>
      </c>
      <c r="L513" s="9" t="s">
        <v>1917</v>
      </c>
    </row>
    <row r="514" customFormat="false" ht="23.85" hidden="false" customHeight="false" outlineLevel="0" collapsed="false">
      <c r="A514" s="51" t="s">
        <v>590</v>
      </c>
      <c r="B514" s="51" t="s">
        <v>584</v>
      </c>
      <c r="C514" s="5" t="s">
        <v>1949</v>
      </c>
      <c r="D514" s="6" t="s">
        <v>1949</v>
      </c>
      <c r="E514" s="6" t="s">
        <v>478</v>
      </c>
      <c r="F514" s="6" t="s">
        <v>730</v>
      </c>
      <c r="G514" s="6" t="s">
        <v>481</v>
      </c>
      <c r="H514" s="6"/>
      <c r="I514" s="26" t="n">
        <v>1</v>
      </c>
      <c r="J514" s="26" t="n">
        <f aca="false">COUNTIFS('Control Library'!$A$5:$A$50,"AI-CTRL-038",'Control Library'!$R$5:$R$50,"Implemented")</f>
        <v>0</v>
      </c>
      <c r="K514" s="43" t="str">
        <f aca="false">IF(I514=0,"No wiki control",IF(J514=I514,"Fully covered",IF(J514=0,"Not covered","Partly covered")))</f>
        <v>Not covered</v>
      </c>
      <c r="L514" s="9" t="s">
        <v>1917</v>
      </c>
    </row>
    <row r="515" customFormat="false" ht="23.85" hidden="false" customHeight="false" outlineLevel="0" collapsed="false">
      <c r="A515" s="51" t="s">
        <v>590</v>
      </c>
      <c r="B515" s="51" t="s">
        <v>584</v>
      </c>
      <c r="C515" s="5" t="s">
        <v>1950</v>
      </c>
      <c r="D515" s="6" t="s">
        <v>1950</v>
      </c>
      <c r="E515" s="6" t="s">
        <v>255</v>
      </c>
      <c r="F515" s="6" t="s">
        <v>730</v>
      </c>
      <c r="G515" s="6" t="s">
        <v>258</v>
      </c>
      <c r="H515" s="6"/>
      <c r="I515" s="26" t="n">
        <v>1</v>
      </c>
      <c r="J515" s="26" t="n">
        <f aca="false">COUNTIFS('Control Library'!$A$5:$A$50,"AI-CTRL-011",'Control Library'!$R$5:$R$50,"Implemented")</f>
        <v>0</v>
      </c>
      <c r="K515" s="43" t="str">
        <f aca="false">IF(I515=0,"No wiki control",IF(J515=I515,"Fully covered",IF(J515=0,"Not covered","Partly covered")))</f>
        <v>Not covered</v>
      </c>
      <c r="L515" s="9" t="s">
        <v>1917</v>
      </c>
    </row>
    <row r="516" customFormat="false" ht="35.05" hidden="false" customHeight="false" outlineLevel="0" collapsed="false">
      <c r="A516" s="51" t="s">
        <v>590</v>
      </c>
      <c r="B516" s="51" t="s">
        <v>584</v>
      </c>
      <c r="C516" s="5" t="s">
        <v>1951</v>
      </c>
      <c r="D516" s="6" t="s">
        <v>1951</v>
      </c>
      <c r="E516" s="6"/>
      <c r="F516" s="6" t="s">
        <v>640</v>
      </c>
      <c r="G516" s="6"/>
      <c r="H516" s="6"/>
      <c r="I516" s="26" t="n">
        <v>0</v>
      </c>
      <c r="J516" s="26" t="n">
        <f aca="false">0</f>
        <v>0</v>
      </c>
      <c r="K516" s="43" t="str">
        <f aca="false">IF(I516=0,"No wiki control",IF(J516=I516,"Fully covered",IF(J516=0,"Not covered","Partly covered")))</f>
        <v>No wiki control</v>
      </c>
      <c r="L516" s="9" t="s">
        <v>1917</v>
      </c>
    </row>
    <row r="517" customFormat="false" ht="23.85" hidden="false" customHeight="false" outlineLevel="0" collapsed="false">
      <c r="A517" s="51" t="s">
        <v>591</v>
      </c>
      <c r="B517" s="51" t="s">
        <v>584</v>
      </c>
      <c r="C517" s="5" t="s">
        <v>1952</v>
      </c>
      <c r="D517" s="6" t="s">
        <v>1953</v>
      </c>
      <c r="E517" s="6"/>
      <c r="F517" s="6" t="s">
        <v>640</v>
      </c>
      <c r="G517" s="6"/>
      <c r="H517" s="6"/>
      <c r="I517" s="26" t="n">
        <v>0</v>
      </c>
      <c r="J517" s="26" t="n">
        <f aca="false">0</f>
        <v>0</v>
      </c>
      <c r="K517" s="43" t="str">
        <f aca="false">IF(I517=0,"No wiki control",IF(J517=I517,"Fully covered",IF(J517=0,"Not covered","Partly covered")))</f>
        <v>No wiki control</v>
      </c>
      <c r="L517" s="9" t="s">
        <v>1917</v>
      </c>
    </row>
    <row r="518" customFormat="false" ht="23.85" hidden="false" customHeight="false" outlineLevel="0" collapsed="false">
      <c r="A518" s="51" t="s">
        <v>591</v>
      </c>
      <c r="B518" s="51" t="s">
        <v>584</v>
      </c>
      <c r="C518" s="5" t="s">
        <v>1954</v>
      </c>
      <c r="D518" s="6" t="s">
        <v>1954</v>
      </c>
      <c r="E518" s="6" t="s">
        <v>1167</v>
      </c>
      <c r="F518" s="6" t="s">
        <v>730</v>
      </c>
      <c r="G518" s="6" t="s">
        <v>1168</v>
      </c>
      <c r="H518" s="6"/>
      <c r="I518" s="26" t="n">
        <v>2</v>
      </c>
      <c r="J518" s="26" t="n">
        <f aca="false">COUNTIFS('Control Library'!$A$5:$A$50,"AI-CTRL-013",'Control Library'!$R$5:$R$50,"Implemented")+COUNTIFS('Control Library'!$A$5:$A$50,"AI-CTRL-043",'Control Library'!$R$5:$R$50,"Implemented")</f>
        <v>0</v>
      </c>
      <c r="K518" s="43" t="str">
        <f aca="false">IF(I518=0,"No wiki control",IF(J518=I518,"Fully covered",IF(J518=0,"Not covered","Partly covered")))</f>
        <v>Not covered</v>
      </c>
      <c r="L518" s="9" t="s">
        <v>1917</v>
      </c>
    </row>
    <row r="519" customFormat="false" ht="23.85" hidden="false" customHeight="false" outlineLevel="0" collapsed="false">
      <c r="A519" s="51" t="s">
        <v>591</v>
      </c>
      <c r="B519" s="51" t="s">
        <v>584</v>
      </c>
      <c r="C519" s="5" t="s">
        <v>1955</v>
      </c>
      <c r="D519" s="6" t="s">
        <v>1955</v>
      </c>
      <c r="E519" s="6" t="s">
        <v>530</v>
      </c>
      <c r="F519" s="6" t="s">
        <v>730</v>
      </c>
      <c r="G519" s="6" t="s">
        <v>533</v>
      </c>
      <c r="H519" s="6"/>
      <c r="I519" s="26" t="n">
        <v>1</v>
      </c>
      <c r="J519" s="26" t="n">
        <f aca="false">COUNTIFS('Control Library'!$A$5:$A$50,"AI-CTRL-044",'Control Library'!$R$5:$R$50,"Implemented")</f>
        <v>0</v>
      </c>
      <c r="K519" s="43" t="str">
        <f aca="false">IF(I519=0,"No wiki control",IF(J519=I519,"Fully covered",IF(J519=0,"Not covered","Partly covered")))</f>
        <v>Not covered</v>
      </c>
      <c r="L519" s="9" t="s">
        <v>1917</v>
      </c>
    </row>
    <row r="520" customFormat="false" ht="35.05" hidden="false" customHeight="false" outlineLevel="0" collapsed="false">
      <c r="A520" s="51" t="s">
        <v>591</v>
      </c>
      <c r="B520" s="51" t="s">
        <v>584</v>
      </c>
      <c r="C520" s="5" t="s">
        <v>1956</v>
      </c>
      <c r="D520" s="6" t="s">
        <v>1956</v>
      </c>
      <c r="E520" s="6" t="s">
        <v>1957</v>
      </c>
      <c r="F520" s="6" t="s">
        <v>730</v>
      </c>
      <c r="G520" s="6" t="s">
        <v>1958</v>
      </c>
      <c r="H520" s="6"/>
      <c r="I520" s="26" t="n">
        <v>3</v>
      </c>
      <c r="J520" s="26" t="n">
        <f aca="false">COUNTIFS('Control Library'!$A$5:$A$50,"AI-CTRL-013",'Control Library'!$R$5:$R$50,"Implemented")+COUNTIFS('Control Library'!$A$5:$A$50,"AI-CTRL-017",'Control Library'!$R$5:$R$50,"Implemented")+COUNTIFS('Control Library'!$A$5:$A$50,"AI-CTRL-029",'Control Library'!$R$5:$R$50,"Implemented")</f>
        <v>0</v>
      </c>
      <c r="K520" s="43" t="str">
        <f aca="false">IF(I520=0,"No wiki control",IF(J520=I520,"Fully covered",IF(J520=0,"Not covered","Partly covered")))</f>
        <v>Not covered</v>
      </c>
      <c r="L520" s="9" t="s">
        <v>1917</v>
      </c>
    </row>
    <row r="521" customFormat="false" ht="23.85" hidden="false" customHeight="false" outlineLevel="0" collapsed="false">
      <c r="A521" s="51" t="s">
        <v>591</v>
      </c>
      <c r="B521" s="51" t="s">
        <v>584</v>
      </c>
      <c r="C521" s="5" t="s">
        <v>1959</v>
      </c>
      <c r="D521" s="6" t="s">
        <v>1959</v>
      </c>
      <c r="E521" s="6" t="s">
        <v>539</v>
      </c>
      <c r="F521" s="6" t="s">
        <v>730</v>
      </c>
      <c r="G521" s="6" t="s">
        <v>542</v>
      </c>
      <c r="H521" s="6"/>
      <c r="I521" s="26" t="n">
        <v>1</v>
      </c>
      <c r="J521" s="26" t="n">
        <f aca="false">COUNTIFS('Control Library'!$A$5:$A$50,"AI-CTRL-045",'Control Library'!$R$5:$R$50,"Implemented")</f>
        <v>0</v>
      </c>
      <c r="K521" s="43" t="str">
        <f aca="false">IF(I521=0,"No wiki control",IF(J521=I521,"Fully covered",IF(J521=0,"Not covered","Partly covered")))</f>
        <v>Not covered</v>
      </c>
      <c r="L521" s="9" t="s">
        <v>1917</v>
      </c>
    </row>
    <row r="522" customFormat="false" ht="23.85" hidden="false" customHeight="false" outlineLevel="0" collapsed="false">
      <c r="A522" s="51" t="s">
        <v>591</v>
      </c>
      <c r="B522" s="51" t="s">
        <v>584</v>
      </c>
      <c r="C522" s="5" t="s">
        <v>1960</v>
      </c>
      <c r="D522" s="6" t="s">
        <v>1960</v>
      </c>
      <c r="E522" s="6" t="s">
        <v>255</v>
      </c>
      <c r="F522" s="6" t="s">
        <v>730</v>
      </c>
      <c r="G522" s="6" t="s">
        <v>258</v>
      </c>
      <c r="H522" s="6"/>
      <c r="I522" s="26" t="n">
        <v>1</v>
      </c>
      <c r="J522" s="26" t="n">
        <f aca="false">COUNTIFS('Control Library'!$A$5:$A$50,"AI-CTRL-011",'Control Library'!$R$5:$R$50,"Implemented")</f>
        <v>0</v>
      </c>
      <c r="K522" s="43" t="str">
        <f aca="false">IF(I522=0,"No wiki control",IF(J522=I522,"Fully covered",IF(J522=0,"Not covered","Partly covered")))</f>
        <v>Not covered</v>
      </c>
      <c r="L522" s="9" t="s">
        <v>1917</v>
      </c>
    </row>
    <row r="523" customFormat="false" ht="35.05" hidden="false" customHeight="false" outlineLevel="0" collapsed="false">
      <c r="A523" s="51" t="s">
        <v>591</v>
      </c>
      <c r="B523" s="51" t="s">
        <v>584</v>
      </c>
      <c r="C523" s="5" t="s">
        <v>1961</v>
      </c>
      <c r="D523" s="6" t="s">
        <v>1962</v>
      </c>
      <c r="E523" s="6" t="s">
        <v>470</v>
      </c>
      <c r="F523" s="6" t="s">
        <v>730</v>
      </c>
      <c r="G523" s="6" t="s">
        <v>473</v>
      </c>
      <c r="H523" s="6"/>
      <c r="I523" s="26" t="n">
        <v>1</v>
      </c>
      <c r="J523" s="26" t="n">
        <f aca="false">COUNTIFS('Control Library'!$A$5:$A$50,"AI-CTRL-037",'Control Library'!$R$5:$R$50,"Implemented")</f>
        <v>0</v>
      </c>
      <c r="K523" s="43" t="str">
        <f aca="false">IF(I523=0,"No wiki control",IF(J523=I523,"Fully covered",IF(J523=0,"Not covered","Partly covered")))</f>
        <v>Not covered</v>
      </c>
      <c r="L523" s="9" t="s">
        <v>1917</v>
      </c>
    </row>
    <row r="524" customFormat="false" ht="23.85" hidden="false" customHeight="false" outlineLevel="0" collapsed="false">
      <c r="A524" s="51" t="s">
        <v>592</v>
      </c>
      <c r="B524" s="51" t="s">
        <v>584</v>
      </c>
      <c r="C524" s="5" t="s">
        <v>1963</v>
      </c>
      <c r="D524" s="6" t="s">
        <v>1964</v>
      </c>
      <c r="E524" s="6" t="s">
        <v>1658</v>
      </c>
      <c r="F524" s="6" t="s">
        <v>730</v>
      </c>
      <c r="G524" s="6" t="s">
        <v>1659</v>
      </c>
      <c r="H524" s="6"/>
      <c r="I524" s="26" t="n">
        <v>2</v>
      </c>
      <c r="J524" s="26" t="n">
        <f aca="false">COUNTIFS('Control Library'!$A$5:$A$50,"AI-CTRL-039",'Control Library'!$R$5:$R$50,"Implemented")+COUNTIFS('Control Library'!$A$5:$A$50,"AI-CTRL-041",'Control Library'!$R$5:$R$50,"Implemented")</f>
        <v>0</v>
      </c>
      <c r="K524" s="43" t="str">
        <f aca="false">IF(I524=0,"No wiki control",IF(J524=I524,"Fully covered",IF(J524=0,"Not covered","Partly covered")))</f>
        <v>Not covered</v>
      </c>
      <c r="L524" s="9" t="s">
        <v>1917</v>
      </c>
    </row>
    <row r="525" customFormat="false" ht="23.85" hidden="false" customHeight="false" outlineLevel="0" collapsed="false">
      <c r="A525" s="51" t="s">
        <v>592</v>
      </c>
      <c r="B525" s="51" t="s">
        <v>584</v>
      </c>
      <c r="C525" s="5" t="s">
        <v>1965</v>
      </c>
      <c r="D525" s="6" t="s">
        <v>1966</v>
      </c>
      <c r="E525" s="6" t="s">
        <v>1658</v>
      </c>
      <c r="F525" s="6" t="s">
        <v>730</v>
      </c>
      <c r="G525" s="6" t="s">
        <v>1659</v>
      </c>
      <c r="H525" s="6"/>
      <c r="I525" s="26" t="n">
        <v>2</v>
      </c>
      <c r="J525" s="26" t="n">
        <f aca="false">COUNTIFS('Control Library'!$A$5:$A$50,"AI-CTRL-039",'Control Library'!$R$5:$R$50,"Implemented")+COUNTIFS('Control Library'!$A$5:$A$50,"AI-CTRL-041",'Control Library'!$R$5:$R$50,"Implemented")</f>
        <v>0</v>
      </c>
      <c r="K525" s="43" t="str">
        <f aca="false">IF(I525=0,"No wiki control",IF(J525=I525,"Fully covered",IF(J525=0,"Not covered","Partly covered")))</f>
        <v>Not covered</v>
      </c>
      <c r="L525" s="9" t="s">
        <v>1917</v>
      </c>
    </row>
    <row r="526" customFormat="false" ht="23.85" hidden="false" customHeight="false" outlineLevel="0" collapsed="false">
      <c r="A526" s="51" t="s">
        <v>592</v>
      </c>
      <c r="B526" s="51" t="s">
        <v>584</v>
      </c>
      <c r="C526" s="5" t="s">
        <v>1967</v>
      </c>
      <c r="D526" s="6" t="s">
        <v>1967</v>
      </c>
      <c r="E526" s="6" t="s">
        <v>1968</v>
      </c>
      <c r="F526" s="6" t="s">
        <v>730</v>
      </c>
      <c r="G526" s="6" t="s">
        <v>1844</v>
      </c>
      <c r="H526" s="6"/>
      <c r="I526" s="26" t="n">
        <v>2</v>
      </c>
      <c r="J526" s="26" t="n">
        <f aca="false">COUNTIFS('Control Library'!$A$5:$A$50,"AI-CTRL-013",'Control Library'!$R$5:$R$50,"Implemented")+COUNTIFS('Control Library'!$A$5:$A$50,"AI-CTRL-017",'Control Library'!$R$5:$R$50,"Implemented")</f>
        <v>0</v>
      </c>
      <c r="K526" s="43" t="str">
        <f aca="false">IF(I526=0,"No wiki control",IF(J526=I526,"Fully covered",IF(J526=0,"Not covered","Partly covered")))</f>
        <v>Not covered</v>
      </c>
      <c r="L526" s="9" t="s">
        <v>1917</v>
      </c>
    </row>
    <row r="527" customFormat="false" ht="35.05" hidden="false" customHeight="false" outlineLevel="0" collapsed="false">
      <c r="A527" s="51" t="s">
        <v>592</v>
      </c>
      <c r="B527" s="51" t="s">
        <v>584</v>
      </c>
      <c r="C527" s="5" t="s">
        <v>1969</v>
      </c>
      <c r="D527" s="6" t="s">
        <v>1970</v>
      </c>
      <c r="E527" s="6" t="s">
        <v>1971</v>
      </c>
      <c r="F527" s="6" t="s">
        <v>730</v>
      </c>
      <c r="G527" s="6" t="s">
        <v>1972</v>
      </c>
      <c r="H527" s="6"/>
      <c r="I527" s="26" t="n">
        <v>4</v>
      </c>
      <c r="J527" s="26" t="n">
        <f aca="false">COUNTIFS('Control Library'!$A$5:$A$50,"AI-CTRL-028",'Control Library'!$R$5:$R$50,"Implemented")+COUNTIFS('Control Library'!$A$5:$A$50,"AI-CTRL-029",'Control Library'!$R$5:$R$50,"Implemented")+COUNTIFS('Control Library'!$A$5:$A$50,"AI-CTRL-032",'Control Library'!$R$5:$R$50,"Implemented")+COUNTIFS('Control Library'!$A$5:$A$50,"AI-CTRL-034",'Control Library'!$R$5:$R$50,"Implemented")</f>
        <v>0</v>
      </c>
      <c r="K527" s="43" t="str">
        <f aca="false">IF(I527=0,"No wiki control",IF(J527=I527,"Fully covered",IF(J527=0,"Not covered","Partly covered")))</f>
        <v>Not covered</v>
      </c>
      <c r="L527" s="9" t="s">
        <v>1917</v>
      </c>
    </row>
    <row r="528" customFormat="false" ht="35.05" hidden="false" customHeight="false" outlineLevel="0" collapsed="false">
      <c r="A528" s="51" t="s">
        <v>592</v>
      </c>
      <c r="B528" s="51" t="s">
        <v>584</v>
      </c>
      <c r="C528" s="5" t="s">
        <v>1973</v>
      </c>
      <c r="D528" s="6" t="s">
        <v>1974</v>
      </c>
      <c r="E528" s="6" t="s">
        <v>1975</v>
      </c>
      <c r="F528" s="6" t="s">
        <v>730</v>
      </c>
      <c r="G528" s="6" t="s">
        <v>1976</v>
      </c>
      <c r="H528" s="6"/>
      <c r="I528" s="26" t="n">
        <v>3</v>
      </c>
      <c r="J528" s="26" t="n">
        <f aca="false">COUNTIFS('Control Library'!$A$5:$A$50,"AI-CTRL-023",'Control Library'!$R$5:$R$50,"Implemented")+COUNTIFS('Control Library'!$A$5:$A$50,"AI-CTRL-025",'Control Library'!$R$5:$R$50,"Implemented")+COUNTIFS('Control Library'!$A$5:$A$50,"AI-CTRL-045",'Control Library'!$R$5:$R$50,"Implemented")</f>
        <v>0</v>
      </c>
      <c r="K528" s="43" t="str">
        <f aca="false">IF(I528=0,"No wiki control",IF(J528=I528,"Fully covered",IF(J528=0,"Not covered","Partly covered")))</f>
        <v>Not covered</v>
      </c>
      <c r="L528" s="9" t="s">
        <v>1917</v>
      </c>
    </row>
    <row r="529" customFormat="false" ht="23.85" hidden="false" customHeight="false" outlineLevel="0" collapsed="false">
      <c r="A529" s="51" t="s">
        <v>592</v>
      </c>
      <c r="B529" s="51" t="s">
        <v>584</v>
      </c>
      <c r="C529" s="5" t="s">
        <v>1977</v>
      </c>
      <c r="D529" s="6" t="s">
        <v>1977</v>
      </c>
      <c r="E529" s="6"/>
      <c r="F529" s="6" t="s">
        <v>640</v>
      </c>
      <c r="G529" s="6"/>
      <c r="H529" s="6"/>
      <c r="I529" s="26" t="n">
        <v>0</v>
      </c>
      <c r="J529" s="26" t="n">
        <f aca="false">0</f>
        <v>0</v>
      </c>
      <c r="K529" s="43" t="str">
        <f aca="false">IF(I529=0,"No wiki control",IF(J529=I529,"Fully covered",IF(J529=0,"Not covered","Partly covered")))</f>
        <v>No wiki control</v>
      </c>
      <c r="L529" s="9" t="s">
        <v>1917</v>
      </c>
    </row>
    <row r="530" customFormat="false" ht="35.05" hidden="false" customHeight="false" outlineLevel="0" collapsed="false">
      <c r="A530" s="51" t="s">
        <v>592</v>
      </c>
      <c r="B530" s="51" t="s">
        <v>584</v>
      </c>
      <c r="C530" s="5" t="s">
        <v>1978</v>
      </c>
      <c r="D530" s="6" t="s">
        <v>1978</v>
      </c>
      <c r="E530" s="6" t="s">
        <v>759</v>
      </c>
      <c r="F530" s="6" t="s">
        <v>730</v>
      </c>
      <c r="G530" s="6" t="s">
        <v>760</v>
      </c>
      <c r="H530" s="6"/>
      <c r="I530" s="26" t="n">
        <v>2</v>
      </c>
      <c r="J530" s="26" t="n">
        <f aca="false">COUNTIFS('Control Library'!$A$5:$A$50,"AI-CTRL-033",'Control Library'!$R$5:$R$50,"Implemented")+COUNTIFS('Control Library'!$A$5:$A$50,"AI-CTRL-034",'Control Library'!$R$5:$R$50,"Implemented")</f>
        <v>0</v>
      </c>
      <c r="K530" s="43" t="str">
        <f aca="false">IF(I530=0,"No wiki control",IF(J530=I530,"Fully covered",IF(J530=0,"Not covered","Partly covered")))</f>
        <v>Not covered</v>
      </c>
      <c r="L530" s="9" t="s">
        <v>1917</v>
      </c>
    </row>
    <row r="531" customFormat="false" ht="23.85" hidden="false" customHeight="false" outlineLevel="0" collapsed="false">
      <c r="A531" s="51" t="s">
        <v>593</v>
      </c>
      <c r="B531" s="51" t="s">
        <v>584</v>
      </c>
      <c r="C531" s="5" t="s">
        <v>1979</v>
      </c>
      <c r="D531" s="6" t="s">
        <v>1980</v>
      </c>
      <c r="E531" s="6" t="s">
        <v>282</v>
      </c>
      <c r="F531" s="6" t="s">
        <v>730</v>
      </c>
      <c r="G531" s="6" t="s">
        <v>286</v>
      </c>
      <c r="H531" s="6"/>
      <c r="I531" s="26" t="n">
        <v>1</v>
      </c>
      <c r="J531" s="26" t="n">
        <f aca="false">COUNTIFS('Control Library'!$A$5:$A$50,"AI-CTRL-014",'Control Library'!$R$5:$R$50,"Implemented")</f>
        <v>0</v>
      </c>
      <c r="K531" s="43" t="str">
        <f aca="false">IF(I531=0,"No wiki control",IF(J531=I531,"Fully covered",IF(J531=0,"Not covered","Partly covered")))</f>
        <v>Not covered</v>
      </c>
      <c r="L531" s="9" t="s">
        <v>1917</v>
      </c>
    </row>
    <row r="532" customFormat="false" ht="23.85" hidden="false" customHeight="false" outlineLevel="0" collapsed="false">
      <c r="A532" s="51" t="s">
        <v>593</v>
      </c>
      <c r="B532" s="51" t="s">
        <v>584</v>
      </c>
      <c r="C532" s="5" t="s">
        <v>1981</v>
      </c>
      <c r="D532" s="6" t="s">
        <v>1982</v>
      </c>
      <c r="E532" s="6" t="s">
        <v>1983</v>
      </c>
      <c r="F532" s="6" t="s">
        <v>730</v>
      </c>
      <c r="G532" s="6" t="s">
        <v>1984</v>
      </c>
      <c r="H532" s="6"/>
      <c r="I532" s="26" t="n">
        <v>2</v>
      </c>
      <c r="J532" s="26" t="n">
        <f aca="false">COUNTIFS('Control Library'!$A$5:$A$50,"AI-CTRL-031",'Control Library'!$R$5:$R$50,"Implemented")+COUNTIFS('Control Library'!$A$5:$A$50,"AI-CTRL-037",'Control Library'!$R$5:$R$50,"Implemented")</f>
        <v>0</v>
      </c>
      <c r="K532" s="43" t="str">
        <f aca="false">IF(I532=0,"No wiki control",IF(J532=I532,"Fully covered",IF(J532=0,"Not covered","Partly covered")))</f>
        <v>Not covered</v>
      </c>
      <c r="L532" s="9" t="s">
        <v>1917</v>
      </c>
    </row>
    <row r="533" customFormat="false" ht="35.05" hidden="false" customHeight="false" outlineLevel="0" collapsed="false">
      <c r="A533" s="51" t="s">
        <v>593</v>
      </c>
      <c r="B533" s="51" t="s">
        <v>584</v>
      </c>
      <c r="C533" s="5" t="s">
        <v>1985</v>
      </c>
      <c r="D533" s="6" t="s">
        <v>1986</v>
      </c>
      <c r="E533" s="6" t="s">
        <v>759</v>
      </c>
      <c r="F533" s="6" t="s">
        <v>730</v>
      </c>
      <c r="G533" s="6" t="s">
        <v>760</v>
      </c>
      <c r="H533" s="6"/>
      <c r="I533" s="26" t="n">
        <v>2</v>
      </c>
      <c r="J533" s="26" t="n">
        <f aca="false">COUNTIFS('Control Library'!$A$5:$A$50,"AI-CTRL-033",'Control Library'!$R$5:$R$50,"Implemented")+COUNTIFS('Control Library'!$A$5:$A$50,"AI-CTRL-034",'Control Library'!$R$5:$R$50,"Implemented")</f>
        <v>0</v>
      </c>
      <c r="K533" s="43" t="str">
        <f aca="false">IF(I533=0,"No wiki control",IF(J533=I533,"Fully covered",IF(J533=0,"Not covered","Partly covered")))</f>
        <v>Not covered</v>
      </c>
      <c r="L533" s="9" t="s">
        <v>1917</v>
      </c>
    </row>
    <row r="534" customFormat="false" ht="23.85" hidden="false" customHeight="false" outlineLevel="0" collapsed="false">
      <c r="A534" s="51" t="s">
        <v>593</v>
      </c>
      <c r="B534" s="51" t="s">
        <v>584</v>
      </c>
      <c r="C534" s="5" t="s">
        <v>1987</v>
      </c>
      <c r="D534" s="6" t="s">
        <v>1988</v>
      </c>
      <c r="E534" s="6" t="s">
        <v>1989</v>
      </c>
      <c r="F534" s="6" t="s">
        <v>730</v>
      </c>
      <c r="G534" s="6" t="s">
        <v>1990</v>
      </c>
      <c r="H534" s="6"/>
      <c r="I534" s="26" t="n">
        <v>2</v>
      </c>
      <c r="J534" s="26" t="n">
        <f aca="false">COUNTIFS('Control Library'!$A$5:$A$50,"AI-CTRL-009",'Control Library'!$R$5:$R$50,"Implemented")+COUNTIFS('Control Library'!$A$5:$A$50,"AI-CTRL-040",'Control Library'!$R$5:$R$50,"Implemented")</f>
        <v>0</v>
      </c>
      <c r="K534" s="43" t="str">
        <f aca="false">IF(I534=0,"No wiki control",IF(J534=I534,"Fully covered",IF(J534=0,"Not covered","Partly covered")))</f>
        <v>Not covered</v>
      </c>
      <c r="L534" s="9" t="s">
        <v>1917</v>
      </c>
    </row>
    <row r="535" customFormat="false" ht="23.85" hidden="false" customHeight="false" outlineLevel="0" collapsed="false">
      <c r="A535" s="51" t="s">
        <v>593</v>
      </c>
      <c r="B535" s="51" t="s">
        <v>584</v>
      </c>
      <c r="C535" s="5" t="s">
        <v>1991</v>
      </c>
      <c r="D535" s="6" t="s">
        <v>1991</v>
      </c>
      <c r="E535" s="6" t="s">
        <v>1910</v>
      </c>
      <c r="F535" s="6" t="s">
        <v>730</v>
      </c>
      <c r="G535" s="6" t="s">
        <v>1557</v>
      </c>
      <c r="H535" s="6"/>
      <c r="I535" s="26" t="n">
        <v>2</v>
      </c>
      <c r="J535" s="26" t="n">
        <f aca="false">COUNTIFS('Control Library'!$A$5:$A$50,"AI-CTRL-017",'Control Library'!$R$5:$R$50,"Implemented")+COUNTIFS('Control Library'!$A$5:$A$50,"AI-CTRL-029",'Control Library'!$R$5:$R$50,"Implemented")</f>
        <v>0</v>
      </c>
      <c r="K535" s="43" t="str">
        <f aca="false">IF(I535=0,"No wiki control",IF(J535=I535,"Fully covered",IF(J535=0,"Not covered","Partly covered")))</f>
        <v>Not covered</v>
      </c>
      <c r="L535" s="9" t="s">
        <v>1917</v>
      </c>
    </row>
    <row r="536" customFormat="false" ht="23.85" hidden="false" customHeight="false" outlineLevel="0" collapsed="false">
      <c r="A536" s="51" t="s">
        <v>593</v>
      </c>
      <c r="B536" s="51" t="s">
        <v>584</v>
      </c>
      <c r="C536" s="5" t="s">
        <v>1992</v>
      </c>
      <c r="D536" s="6" t="s">
        <v>1992</v>
      </c>
      <c r="E536" s="6" t="s">
        <v>444</v>
      </c>
      <c r="F536" s="6" t="s">
        <v>730</v>
      </c>
      <c r="G536" s="6" t="s">
        <v>447</v>
      </c>
      <c r="H536" s="6"/>
      <c r="I536" s="26" t="n">
        <v>1</v>
      </c>
      <c r="J536" s="26" t="n">
        <f aca="false">COUNTIFS('Control Library'!$A$5:$A$50,"AI-CTRL-034",'Control Library'!$R$5:$R$50,"Implemented")</f>
        <v>0</v>
      </c>
      <c r="K536" s="43" t="str">
        <f aca="false">IF(I536=0,"No wiki control",IF(J536=I536,"Fully covered",IF(J536=0,"Not covered","Partly covered")))</f>
        <v>Not covered</v>
      </c>
      <c r="L536" s="9" t="s">
        <v>1917</v>
      </c>
    </row>
    <row r="537" customFormat="false" ht="23.85" hidden="false" customHeight="false" outlineLevel="0" collapsed="false">
      <c r="A537" s="51" t="s">
        <v>593</v>
      </c>
      <c r="B537" s="51" t="s">
        <v>584</v>
      </c>
      <c r="C537" s="5" t="s">
        <v>1993</v>
      </c>
      <c r="D537" s="6" t="s">
        <v>1993</v>
      </c>
      <c r="E537" s="6" t="s">
        <v>1994</v>
      </c>
      <c r="F537" s="6" t="s">
        <v>730</v>
      </c>
      <c r="G537" s="6" t="s">
        <v>1995</v>
      </c>
      <c r="H537" s="6"/>
      <c r="I537" s="26" t="n">
        <v>2</v>
      </c>
      <c r="J537" s="26" t="n">
        <f aca="false">COUNTIFS('Control Library'!$A$5:$A$50,"AI-CTRL-011",'Control Library'!$R$5:$R$50,"Implemented")+COUNTIFS('Control Library'!$A$5:$A$50,"AI-CTRL-030",'Control Library'!$R$5:$R$50,"Implemented")</f>
        <v>0</v>
      </c>
      <c r="K537" s="43" t="str">
        <f aca="false">IF(I537=0,"No wiki control",IF(J537=I537,"Fully covered",IF(J537=0,"Not covered","Partly covered")))</f>
        <v>Not covered</v>
      </c>
      <c r="L537" s="9" t="s">
        <v>1917</v>
      </c>
    </row>
    <row r="538" customFormat="false" ht="23.85" hidden="false" customHeight="false" outlineLevel="0" collapsed="false">
      <c r="A538" s="51" t="s">
        <v>593</v>
      </c>
      <c r="B538" s="51" t="s">
        <v>584</v>
      </c>
      <c r="C538" s="5" t="s">
        <v>1996</v>
      </c>
      <c r="D538" s="6" t="s">
        <v>1996</v>
      </c>
      <c r="E538" s="6" t="s">
        <v>324</v>
      </c>
      <c r="F538" s="6" t="s">
        <v>730</v>
      </c>
      <c r="G538" s="6" t="s">
        <v>327</v>
      </c>
      <c r="H538" s="6"/>
      <c r="I538" s="26" t="n">
        <v>1</v>
      </c>
      <c r="J538" s="26" t="n">
        <f aca="false">COUNTIFS('Control Library'!$A$5:$A$50,"AI-CTRL-019",'Control Library'!$R$5:$R$50,"Implemented")</f>
        <v>0</v>
      </c>
      <c r="K538" s="43" t="str">
        <f aca="false">IF(I538=0,"No wiki control",IF(J538=I538,"Fully covered",IF(J538=0,"Not covered","Partly covered")))</f>
        <v>Not covered</v>
      </c>
      <c r="L538" s="9" t="s">
        <v>1917</v>
      </c>
    </row>
    <row r="539" customFormat="false" ht="23.85" hidden="false" customHeight="false" outlineLevel="0" collapsed="false">
      <c r="A539" s="51" t="s">
        <v>594</v>
      </c>
      <c r="B539" s="51" t="s">
        <v>584</v>
      </c>
      <c r="C539" s="5" t="s">
        <v>1997</v>
      </c>
      <c r="D539" s="6" t="s">
        <v>1998</v>
      </c>
      <c r="E539" s="6"/>
      <c r="F539" s="6" t="s">
        <v>640</v>
      </c>
      <c r="G539" s="6"/>
      <c r="H539" s="6"/>
      <c r="I539" s="26" t="n">
        <v>0</v>
      </c>
      <c r="J539" s="26" t="n">
        <f aca="false">0</f>
        <v>0</v>
      </c>
      <c r="K539" s="43" t="str">
        <f aca="false">IF(I539=0,"No wiki control",IF(J539=I539,"Fully covered",IF(J539=0,"Not covered","Partly covered")))</f>
        <v>No wiki control</v>
      </c>
      <c r="L539" s="9" t="s">
        <v>1917</v>
      </c>
    </row>
    <row r="540" customFormat="false" ht="23.85" hidden="false" customHeight="false" outlineLevel="0" collapsed="false">
      <c r="A540" s="51" t="s">
        <v>594</v>
      </c>
      <c r="B540" s="51" t="s">
        <v>584</v>
      </c>
      <c r="C540" s="5" t="s">
        <v>1999</v>
      </c>
      <c r="D540" s="6" t="s">
        <v>2000</v>
      </c>
      <c r="E540" s="6" t="s">
        <v>1910</v>
      </c>
      <c r="F540" s="6" t="s">
        <v>730</v>
      </c>
      <c r="G540" s="6" t="s">
        <v>1557</v>
      </c>
      <c r="H540" s="6"/>
      <c r="I540" s="26" t="n">
        <v>2</v>
      </c>
      <c r="J540" s="26" t="n">
        <f aca="false">COUNTIFS('Control Library'!$A$5:$A$50,"AI-CTRL-017",'Control Library'!$R$5:$R$50,"Implemented")+COUNTIFS('Control Library'!$A$5:$A$50,"AI-CTRL-029",'Control Library'!$R$5:$R$50,"Implemented")</f>
        <v>0</v>
      </c>
      <c r="K540" s="43" t="str">
        <f aca="false">IF(I540=0,"No wiki control",IF(J540=I540,"Fully covered",IF(J540=0,"Not covered","Partly covered")))</f>
        <v>Not covered</v>
      </c>
      <c r="L540" s="9" t="s">
        <v>1917</v>
      </c>
    </row>
    <row r="541" customFormat="false" ht="23.85" hidden="false" customHeight="false" outlineLevel="0" collapsed="false">
      <c r="A541" s="51" t="s">
        <v>594</v>
      </c>
      <c r="B541" s="51" t="s">
        <v>584</v>
      </c>
      <c r="C541" s="5" t="s">
        <v>2001</v>
      </c>
      <c r="D541" s="6" t="s">
        <v>2002</v>
      </c>
      <c r="E541" s="6" t="s">
        <v>2003</v>
      </c>
      <c r="F541" s="6" t="s">
        <v>730</v>
      </c>
      <c r="G541" s="6" t="s">
        <v>1513</v>
      </c>
      <c r="H541" s="6"/>
      <c r="I541" s="26" t="n">
        <v>2</v>
      </c>
      <c r="J541" s="26" t="n">
        <f aca="false">COUNTIFS('Control Library'!$A$5:$A$50,"AI-CTRL-030",'Control Library'!$R$5:$R$50,"Implemented")+COUNTIFS('Control Library'!$A$5:$A$50,"AI-CTRL-034",'Control Library'!$R$5:$R$50,"Implemented")</f>
        <v>0</v>
      </c>
      <c r="K541" s="43" t="str">
        <f aca="false">IF(I541=0,"No wiki control",IF(J541=I541,"Fully covered",IF(J541=0,"Not covered","Partly covered")))</f>
        <v>Not covered</v>
      </c>
      <c r="L541" s="9" t="s">
        <v>1917</v>
      </c>
    </row>
    <row r="542" customFormat="false" ht="23.85" hidden="false" customHeight="false" outlineLevel="0" collapsed="false">
      <c r="A542" s="51" t="s">
        <v>594</v>
      </c>
      <c r="B542" s="51" t="s">
        <v>584</v>
      </c>
      <c r="C542" s="5" t="s">
        <v>2004</v>
      </c>
      <c r="D542" s="6" t="s">
        <v>2005</v>
      </c>
      <c r="E542" s="6" t="s">
        <v>2006</v>
      </c>
      <c r="F542" s="6" t="s">
        <v>730</v>
      </c>
      <c r="G542" s="6" t="s">
        <v>2007</v>
      </c>
      <c r="H542" s="6"/>
      <c r="I542" s="26" t="n">
        <v>2</v>
      </c>
      <c r="J542" s="26" t="n">
        <f aca="false">COUNTIFS('Control Library'!$A$5:$A$50,"AI-CTRL-005",'Control Library'!$R$5:$R$50,"Implemented")+COUNTIFS('Control Library'!$A$5:$A$50,"AI-CTRL-030",'Control Library'!$R$5:$R$50,"Implemented")</f>
        <v>0</v>
      </c>
      <c r="K542" s="43" t="str">
        <f aca="false">IF(I542=0,"No wiki control",IF(J542=I542,"Fully covered",IF(J542=0,"Not covered","Partly covered")))</f>
        <v>Not covered</v>
      </c>
      <c r="L542" s="9" t="s">
        <v>1917</v>
      </c>
    </row>
    <row r="543" customFormat="false" ht="35.05" hidden="false" customHeight="false" outlineLevel="0" collapsed="false">
      <c r="A543" s="51" t="s">
        <v>595</v>
      </c>
      <c r="B543" s="51" t="s">
        <v>584</v>
      </c>
      <c r="C543" s="5" t="s">
        <v>2008</v>
      </c>
      <c r="D543" s="6" t="s">
        <v>2009</v>
      </c>
      <c r="E543" s="6"/>
      <c r="F543" s="6" t="s">
        <v>640</v>
      </c>
      <c r="G543" s="6"/>
      <c r="H543" s="6"/>
      <c r="I543" s="26" t="n">
        <v>0</v>
      </c>
      <c r="J543" s="26" t="n">
        <f aca="false">0</f>
        <v>0</v>
      </c>
      <c r="K543" s="43" t="str">
        <f aca="false">IF(I543=0,"No wiki control",IF(J543=I543,"Fully covered",IF(J543=0,"Not covered","Partly covered")))</f>
        <v>No wiki control</v>
      </c>
      <c r="L543" s="9" t="s">
        <v>1917</v>
      </c>
    </row>
    <row r="544" customFormat="false" ht="35.05" hidden="false" customHeight="false" outlineLevel="0" collapsed="false">
      <c r="A544" s="51" t="s">
        <v>595</v>
      </c>
      <c r="B544" s="51" t="s">
        <v>584</v>
      </c>
      <c r="C544" s="5" t="s">
        <v>2010</v>
      </c>
      <c r="D544" s="6" t="s">
        <v>2011</v>
      </c>
      <c r="E544" s="6"/>
      <c r="F544" s="6" t="s">
        <v>640</v>
      </c>
      <c r="G544" s="6"/>
      <c r="H544" s="6"/>
      <c r="I544" s="26" t="n">
        <v>0</v>
      </c>
      <c r="J544" s="26" t="n">
        <f aca="false">0</f>
        <v>0</v>
      </c>
      <c r="K544" s="43" t="str">
        <f aca="false">IF(I544=0,"No wiki control",IF(J544=I544,"Fully covered",IF(J544=0,"Not covered","Partly covered")))</f>
        <v>No wiki control</v>
      </c>
      <c r="L544" s="9" t="s">
        <v>1917</v>
      </c>
    </row>
    <row r="545" customFormat="false" ht="23.85" hidden="false" customHeight="false" outlineLevel="0" collapsed="false">
      <c r="A545" s="51" t="s">
        <v>595</v>
      </c>
      <c r="B545" s="51" t="s">
        <v>584</v>
      </c>
      <c r="C545" s="5" t="s">
        <v>2012</v>
      </c>
      <c r="D545" s="6" t="s">
        <v>2012</v>
      </c>
      <c r="E545" s="6"/>
      <c r="F545" s="6" t="s">
        <v>640</v>
      </c>
      <c r="G545" s="6"/>
      <c r="H545" s="6"/>
      <c r="I545" s="26" t="n">
        <v>0</v>
      </c>
      <c r="J545" s="26" t="n">
        <f aca="false">0</f>
        <v>0</v>
      </c>
      <c r="K545" s="43" t="str">
        <f aca="false">IF(I545=0,"No wiki control",IF(J545=I545,"Fully covered",IF(J545=0,"Not covered","Partly covered")))</f>
        <v>No wiki control</v>
      </c>
      <c r="L545" s="9" t="s">
        <v>1917</v>
      </c>
    </row>
    <row r="546" customFormat="false" ht="46.25" hidden="false" customHeight="false" outlineLevel="0" collapsed="false">
      <c r="A546" s="51" t="s">
        <v>595</v>
      </c>
      <c r="B546" s="51" t="s">
        <v>584</v>
      </c>
      <c r="C546" s="5" t="s">
        <v>2013</v>
      </c>
      <c r="D546" s="6" t="s">
        <v>2014</v>
      </c>
      <c r="E546" s="6" t="s">
        <v>2015</v>
      </c>
      <c r="F546" s="6" t="s">
        <v>730</v>
      </c>
      <c r="G546" s="6" t="s">
        <v>2016</v>
      </c>
      <c r="H546" s="6"/>
      <c r="I546" s="26" t="n">
        <v>5</v>
      </c>
      <c r="J546" s="26" t="n">
        <f aca="false">COUNTIFS('Control Library'!$A$5:$A$50,"AI-CTRL-034",'Control Library'!$R$5:$R$50,"Implemented")+COUNTIFS('Control Library'!$A$5:$A$50,"AI-CTRL-039",'Control Library'!$R$5:$R$50,"Implemented")+COUNTIFS('Control Library'!$A$5:$A$50,"AI-CTRL-040",'Control Library'!$R$5:$R$50,"Implemented")+COUNTIFS('Control Library'!$A$5:$A$50,"AI-CTRL-041",'Control Library'!$R$5:$R$50,"Implemented")+COUNTIFS('Control Library'!$A$5:$A$50,"AI-CTRL-045",'Control Library'!$R$5:$R$50,"Implemented")</f>
        <v>0</v>
      </c>
      <c r="K546" s="43" t="str">
        <f aca="false">IF(I546=0,"No wiki control",IF(J546=I546,"Fully covered",IF(J546=0,"Not covered","Partly covered")))</f>
        <v>Not covered</v>
      </c>
      <c r="L546" s="9" t="s">
        <v>1917</v>
      </c>
    </row>
    <row r="547" customFormat="false" ht="23.85" hidden="false" customHeight="false" outlineLevel="0" collapsed="false">
      <c r="A547" s="51" t="s">
        <v>596</v>
      </c>
      <c r="B547" s="51" t="s">
        <v>584</v>
      </c>
      <c r="C547" s="5" t="s">
        <v>2017</v>
      </c>
      <c r="D547" s="6" t="s">
        <v>2018</v>
      </c>
      <c r="E547" s="6" t="s">
        <v>1910</v>
      </c>
      <c r="F547" s="6" t="s">
        <v>730</v>
      </c>
      <c r="G547" s="6" t="s">
        <v>1557</v>
      </c>
      <c r="H547" s="6"/>
      <c r="I547" s="26" t="n">
        <v>2</v>
      </c>
      <c r="J547" s="26" t="n">
        <f aca="false">COUNTIFS('Control Library'!$A$5:$A$50,"AI-CTRL-017",'Control Library'!$R$5:$R$50,"Implemented")+COUNTIFS('Control Library'!$A$5:$A$50,"AI-CTRL-029",'Control Library'!$R$5:$R$50,"Implemented")</f>
        <v>0</v>
      </c>
      <c r="K547" s="43" t="str">
        <f aca="false">IF(I547=0,"No wiki control",IF(J547=I547,"Fully covered",IF(J547=0,"Not covered","Partly covered")))</f>
        <v>Not covered</v>
      </c>
      <c r="L547" s="9" t="s">
        <v>1917</v>
      </c>
    </row>
    <row r="548" customFormat="false" ht="35.05" hidden="false" customHeight="false" outlineLevel="0" collapsed="false">
      <c r="A548" s="51" t="s">
        <v>596</v>
      </c>
      <c r="B548" s="51" t="s">
        <v>584</v>
      </c>
      <c r="C548" s="5" t="s">
        <v>2019</v>
      </c>
      <c r="D548" s="6" t="s">
        <v>2020</v>
      </c>
      <c r="E548" s="6" t="s">
        <v>876</v>
      </c>
      <c r="F548" s="6" t="s">
        <v>730</v>
      </c>
      <c r="G548" s="6" t="s">
        <v>327</v>
      </c>
      <c r="H548" s="6"/>
      <c r="I548" s="26" t="n">
        <v>2</v>
      </c>
      <c r="J548" s="26" t="n">
        <f aca="false">COUNTIFS('Control Library'!$A$5:$A$50,"AI-CTRL-019",'Control Library'!$R$5:$R$50,"Implemented")+COUNTIFS('Control Library'!$A$5:$A$50,"AI-CTRL-029",'Control Library'!$R$5:$R$50,"Implemented")</f>
        <v>0</v>
      </c>
      <c r="K548" s="43" t="str">
        <f aca="false">IF(I548=0,"No wiki control",IF(J548=I548,"Fully covered",IF(J548=0,"Not covered","Partly covered")))</f>
        <v>Not covered</v>
      </c>
      <c r="L548" s="9" t="s">
        <v>1917</v>
      </c>
    </row>
    <row r="549" customFormat="false" ht="23.85" hidden="false" customHeight="false" outlineLevel="0" collapsed="false">
      <c r="A549" s="51" t="s">
        <v>596</v>
      </c>
      <c r="B549" s="51" t="s">
        <v>584</v>
      </c>
      <c r="C549" s="5" t="s">
        <v>2021</v>
      </c>
      <c r="D549" s="6" t="s">
        <v>2022</v>
      </c>
      <c r="E549" s="6"/>
      <c r="F549" s="6" t="s">
        <v>640</v>
      </c>
      <c r="G549" s="6"/>
      <c r="H549" s="6"/>
      <c r="I549" s="26" t="n">
        <v>0</v>
      </c>
      <c r="J549" s="26" t="n">
        <f aca="false">0</f>
        <v>0</v>
      </c>
      <c r="K549" s="43" t="str">
        <f aca="false">IF(I549=0,"No wiki control",IF(J549=I549,"Fully covered",IF(J549=0,"Not covered","Partly covered")))</f>
        <v>No wiki control</v>
      </c>
      <c r="L549" s="9" t="s">
        <v>1917</v>
      </c>
    </row>
    <row r="550" customFormat="false" ht="23.85" hidden="false" customHeight="false" outlineLevel="0" collapsed="false">
      <c r="A550" s="51" t="s">
        <v>596</v>
      </c>
      <c r="B550" s="51" t="s">
        <v>584</v>
      </c>
      <c r="C550" s="5" t="s">
        <v>2023</v>
      </c>
      <c r="D550" s="6" t="s">
        <v>2024</v>
      </c>
      <c r="E550" s="6" t="s">
        <v>2025</v>
      </c>
      <c r="F550" s="6" t="s">
        <v>730</v>
      </c>
      <c r="G550" s="6" t="s">
        <v>1444</v>
      </c>
      <c r="H550" s="6"/>
      <c r="I550" s="26" t="n">
        <v>2</v>
      </c>
      <c r="J550" s="26" t="n">
        <f aca="false">COUNTIFS('Control Library'!$A$5:$A$50,"AI-CTRL-014",'Control Library'!$R$5:$R$50,"Implemented")+COUNTIFS('Control Library'!$A$5:$A$50,"AI-CTRL-031",'Control Library'!$R$5:$R$50,"Implemented")</f>
        <v>0</v>
      </c>
      <c r="K550" s="43" t="str">
        <f aca="false">IF(I550=0,"No wiki control",IF(J550=I550,"Fully covered",IF(J550=0,"Not covered","Partly covered")))</f>
        <v>Not covered</v>
      </c>
      <c r="L550" s="9" t="s">
        <v>1917</v>
      </c>
    </row>
    <row r="551" customFormat="false" ht="23.85" hidden="false" customHeight="false" outlineLevel="0" collapsed="false">
      <c r="A551" s="51" t="s">
        <v>596</v>
      </c>
      <c r="B551" s="51" t="s">
        <v>584</v>
      </c>
      <c r="C551" s="5" t="s">
        <v>2026</v>
      </c>
      <c r="D551" s="6" t="s">
        <v>2027</v>
      </c>
      <c r="E551" s="6"/>
      <c r="F551" s="6" t="s">
        <v>640</v>
      </c>
      <c r="G551" s="6"/>
      <c r="H551" s="6"/>
      <c r="I551" s="26" t="n">
        <v>0</v>
      </c>
      <c r="J551" s="26" t="n">
        <f aca="false">0</f>
        <v>0</v>
      </c>
      <c r="K551" s="43" t="str">
        <f aca="false">IF(I551=0,"No wiki control",IF(J551=I551,"Fully covered",IF(J551=0,"Not covered","Partly covered")))</f>
        <v>No wiki control</v>
      </c>
      <c r="L551" s="9" t="s">
        <v>1917</v>
      </c>
    </row>
    <row r="552" customFormat="false" ht="23.85" hidden="false" customHeight="false" outlineLevel="0" collapsed="false">
      <c r="A552" s="51" t="s">
        <v>596</v>
      </c>
      <c r="B552" s="51" t="s">
        <v>584</v>
      </c>
      <c r="C552" s="5" t="s">
        <v>2028</v>
      </c>
      <c r="D552" s="6" t="s">
        <v>2029</v>
      </c>
      <c r="E552" s="6" t="s">
        <v>404</v>
      </c>
      <c r="F552" s="6" t="s">
        <v>730</v>
      </c>
      <c r="G552" s="6" t="s">
        <v>399</v>
      </c>
      <c r="H552" s="6"/>
      <c r="I552" s="26" t="n">
        <v>1</v>
      </c>
      <c r="J552" s="26" t="n">
        <f aca="false">COUNTIFS('Control Library'!$A$5:$A$50,"AI-CTRL-029",'Control Library'!$R$5:$R$50,"Implemented")</f>
        <v>0</v>
      </c>
      <c r="K552" s="43" t="str">
        <f aca="false">IF(I552=0,"No wiki control",IF(J552=I552,"Fully covered",IF(J552=0,"Not covered","Partly covered")))</f>
        <v>Not covered</v>
      </c>
      <c r="L552" s="9" t="s">
        <v>1917</v>
      </c>
    </row>
    <row r="553" customFormat="false" ht="23.85" hidden="false" customHeight="false" outlineLevel="0" collapsed="false">
      <c r="A553" s="51" t="s">
        <v>596</v>
      </c>
      <c r="B553" s="51" t="s">
        <v>584</v>
      </c>
      <c r="C553" s="5" t="s">
        <v>2030</v>
      </c>
      <c r="D553" s="6" t="s">
        <v>2031</v>
      </c>
      <c r="E553" s="6"/>
      <c r="F553" s="6" t="s">
        <v>640</v>
      </c>
      <c r="G553" s="6"/>
      <c r="H553" s="6"/>
      <c r="I553" s="26" t="n">
        <v>0</v>
      </c>
      <c r="J553" s="26" t="n">
        <f aca="false">0</f>
        <v>0</v>
      </c>
      <c r="K553" s="43" t="str">
        <f aca="false">IF(I553=0,"No wiki control",IF(J553=I553,"Fully covered",IF(J553=0,"Not covered","Partly covered")))</f>
        <v>No wiki control</v>
      </c>
      <c r="L553" s="9" t="s">
        <v>1917</v>
      </c>
    </row>
    <row r="554" customFormat="false" ht="23.85" hidden="false" customHeight="false" outlineLevel="0" collapsed="false">
      <c r="A554" s="53" t="s">
        <v>597</v>
      </c>
      <c r="B554" s="53" t="s">
        <v>598</v>
      </c>
      <c r="C554" s="5" t="s">
        <v>2032</v>
      </c>
      <c r="D554" s="6" t="s">
        <v>2033</v>
      </c>
      <c r="E554" s="6" t="s">
        <v>1766</v>
      </c>
      <c r="F554" s="6" t="s">
        <v>730</v>
      </c>
      <c r="G554" s="6" t="s">
        <v>456</v>
      </c>
      <c r="H554" s="6"/>
      <c r="I554" s="26" t="n">
        <v>2</v>
      </c>
      <c r="J554" s="26" t="n">
        <f aca="false">COUNTIFS('Control Library'!$A$5:$A$50,"AI-CTRL-009",'Control Library'!$R$5:$R$50,"Implemented")+COUNTIFS('Control Library'!$A$5:$A$50,"AI-CTRL-035",'Control Library'!$R$5:$R$50,"Implemented")</f>
        <v>0</v>
      </c>
      <c r="K554" s="43" t="str">
        <f aca="false">IF(I554=0,"No wiki control",IF(J554=I554,"Fully covered",IF(J554=0,"Not covered","Partly covered")))</f>
        <v>Not covered</v>
      </c>
      <c r="L554" s="9" t="s">
        <v>2034</v>
      </c>
    </row>
    <row r="555" customFormat="false" ht="46.25" hidden="false" customHeight="false" outlineLevel="0" collapsed="false">
      <c r="A555" s="53" t="s">
        <v>597</v>
      </c>
      <c r="B555" s="53" t="s">
        <v>598</v>
      </c>
      <c r="C555" s="5" t="s">
        <v>2035</v>
      </c>
      <c r="D555" s="6" t="s">
        <v>2036</v>
      </c>
      <c r="E555" s="6" t="s">
        <v>2037</v>
      </c>
      <c r="F555" s="6" t="s">
        <v>730</v>
      </c>
      <c r="G555" s="6" t="s">
        <v>2038</v>
      </c>
      <c r="H555" s="6"/>
      <c r="I555" s="26" t="n">
        <v>8</v>
      </c>
      <c r="J555" s="26" t="n">
        <f aca="false">COUNTIFS('Control Library'!$A$5:$A$50,"AI-CTRL-001",'Control Library'!$R$5:$R$50,"Implemented")+COUNTIFS('Control Library'!$A$5:$A$50,"AI-CTRL-002",'Control Library'!$R$5:$R$50,"Implemented")+COUNTIFS('Control Library'!$A$5:$A$50,"AI-CTRL-005",'Control Library'!$R$5:$R$50,"Implemented")+COUNTIFS('Control Library'!$A$5:$A$50,"AI-CTRL-006",'Control Library'!$R$5:$R$50,"Implemented")+COUNTIFS('Control Library'!$A$5:$A$50,"AI-CTRL-008",'Control Library'!$R$5:$R$50,"Implemented")+COUNTIFS('Control Library'!$A$5:$A$50,"AI-CTRL-009",'Control Library'!$R$5:$R$50,"Implemented")+COUNTIFS('Control Library'!$A$5:$A$50,"AI-CTRL-021",'Control Library'!$R$5:$R$50,"Implemented")+COUNTIFS('Control Library'!$A$5:$A$50,"AI-CTRL-036",'Control Library'!$R$5:$R$50,"Implemented")</f>
        <v>0</v>
      </c>
      <c r="K555" s="43" t="str">
        <f aca="false">IF(I555=0,"No wiki control",IF(J555=I555,"Fully covered",IF(J555=0,"Not covered","Partly covered")))</f>
        <v>Not covered</v>
      </c>
      <c r="L555" s="9" t="s">
        <v>2034</v>
      </c>
    </row>
    <row r="556" customFormat="false" ht="23.85" hidden="false" customHeight="false" outlineLevel="0" collapsed="false">
      <c r="A556" s="53" t="s">
        <v>597</v>
      </c>
      <c r="B556" s="53" t="s">
        <v>598</v>
      </c>
      <c r="C556" s="5" t="s">
        <v>2039</v>
      </c>
      <c r="D556" s="6" t="s">
        <v>2040</v>
      </c>
      <c r="E556" s="6" t="s">
        <v>1783</v>
      </c>
      <c r="F556" s="6" t="s">
        <v>730</v>
      </c>
      <c r="G556" s="6" t="s">
        <v>1004</v>
      </c>
      <c r="H556" s="6"/>
      <c r="I556" s="26" t="n">
        <v>5</v>
      </c>
      <c r="J556" s="26" t="n">
        <f aca="false">COUNTIFS('Control Library'!$A$5:$A$50,"AI-CTRL-007",'Control Library'!$R$5:$R$50,"Implemented")+COUNTIFS('Control Library'!$A$5:$A$50,"AI-CTRL-013",'Control Library'!$R$5:$R$50,"Implemented")+COUNTIFS('Control Library'!$A$5:$A$50,"AI-CTRL-042",'Control Library'!$R$5:$R$50,"Implemented")+COUNTIFS('Control Library'!$A$5:$A$50,"AI-CTRL-043",'Control Library'!$R$5:$R$50,"Implemented")+COUNTIFS('Control Library'!$A$5:$A$50,"AI-CTRL-046",'Control Library'!$R$5:$R$50,"Implemented")</f>
        <v>0</v>
      </c>
      <c r="K556" s="43" t="str">
        <f aca="false">IF(I556=0,"No wiki control",IF(J556=I556,"Fully covered",IF(J556=0,"Not covered","Partly covered")))</f>
        <v>Not covered</v>
      </c>
      <c r="L556" s="9" t="s">
        <v>2034</v>
      </c>
    </row>
    <row r="557" customFormat="false" ht="23.85" hidden="false" customHeight="false" outlineLevel="0" collapsed="false">
      <c r="A557" s="53" t="s">
        <v>597</v>
      </c>
      <c r="B557" s="53" t="s">
        <v>598</v>
      </c>
      <c r="C557" s="5" t="s">
        <v>2041</v>
      </c>
      <c r="D557" s="6" t="s">
        <v>2042</v>
      </c>
      <c r="E557" s="6" t="s">
        <v>478</v>
      </c>
      <c r="F557" s="6" t="s">
        <v>730</v>
      </c>
      <c r="G557" s="6" t="s">
        <v>481</v>
      </c>
      <c r="H557" s="6"/>
      <c r="I557" s="26" t="n">
        <v>1</v>
      </c>
      <c r="J557" s="26" t="n">
        <f aca="false">COUNTIFS('Control Library'!$A$5:$A$50,"AI-CTRL-038",'Control Library'!$R$5:$R$50,"Implemented")</f>
        <v>0</v>
      </c>
      <c r="K557" s="43" t="str">
        <f aca="false">IF(I557=0,"No wiki control",IF(J557=I557,"Fully covered",IF(J557=0,"Not covered","Partly covered")))</f>
        <v>Not covered</v>
      </c>
      <c r="L557" s="9" t="s">
        <v>2034</v>
      </c>
    </row>
    <row r="558" customFormat="false" ht="23.85" hidden="false" customHeight="false" outlineLevel="0" collapsed="false">
      <c r="A558" s="53" t="s">
        <v>597</v>
      </c>
      <c r="B558" s="53" t="s">
        <v>598</v>
      </c>
      <c r="C558" s="5" t="s">
        <v>2043</v>
      </c>
      <c r="D558" s="6" t="s">
        <v>2044</v>
      </c>
      <c r="E558" s="6" t="s">
        <v>1011</v>
      </c>
      <c r="F558" s="6" t="s">
        <v>730</v>
      </c>
      <c r="G558" s="6" t="s">
        <v>1012</v>
      </c>
      <c r="H558" s="6"/>
      <c r="I558" s="26" t="n">
        <v>2</v>
      </c>
      <c r="J558" s="26" t="n">
        <f aca="false">COUNTIFS('Control Library'!$A$5:$A$50,"AI-CTRL-010",'Control Library'!$R$5:$R$50,"Implemented")+COUNTIFS('Control Library'!$A$5:$A$50,"AI-CTRL-012",'Control Library'!$R$5:$R$50,"Implemented")</f>
        <v>0</v>
      </c>
      <c r="K558" s="43" t="str">
        <f aca="false">IF(I558=0,"No wiki control",IF(J558=I558,"Fully covered",IF(J558=0,"Not covered","Partly covered")))</f>
        <v>Not covered</v>
      </c>
      <c r="L558" s="9" t="s">
        <v>2034</v>
      </c>
    </row>
    <row r="559" customFormat="false" ht="23.85" hidden="false" customHeight="false" outlineLevel="0" collapsed="false">
      <c r="A559" s="53" t="s">
        <v>597</v>
      </c>
      <c r="B559" s="53" t="s">
        <v>598</v>
      </c>
      <c r="C559" s="5" t="s">
        <v>2045</v>
      </c>
      <c r="D559" s="6" t="s">
        <v>2046</v>
      </c>
      <c r="E559" s="6" t="s">
        <v>826</v>
      </c>
      <c r="F559" s="6" t="s">
        <v>730</v>
      </c>
      <c r="G559" s="6" t="s">
        <v>473</v>
      </c>
      <c r="H559" s="6"/>
      <c r="I559" s="26" t="n">
        <v>2</v>
      </c>
      <c r="J559" s="26" t="n">
        <f aca="false">COUNTIFS('Control Library'!$A$5:$A$50,"AI-CTRL-011",'Control Library'!$R$5:$R$50,"Implemented")+COUNTIFS('Control Library'!$A$5:$A$50,"AI-CTRL-037",'Control Library'!$R$5:$R$50,"Implemented")</f>
        <v>0</v>
      </c>
      <c r="K559" s="43" t="str">
        <f aca="false">IF(I559=0,"No wiki control",IF(J559=I559,"Fully covered",IF(J559=0,"Not covered","Partly covered")))</f>
        <v>Not covered</v>
      </c>
      <c r="L559" s="9" t="s">
        <v>2034</v>
      </c>
    </row>
    <row r="560" customFormat="false" ht="35.05" hidden="false" customHeight="false" outlineLevel="0" collapsed="false">
      <c r="A560" s="53" t="s">
        <v>597</v>
      </c>
      <c r="B560" s="53" t="s">
        <v>598</v>
      </c>
      <c r="C560" s="5" t="s">
        <v>2047</v>
      </c>
      <c r="D560" s="6" t="s">
        <v>2048</v>
      </c>
      <c r="E560" s="6" t="s">
        <v>2049</v>
      </c>
      <c r="F560" s="6" t="s">
        <v>730</v>
      </c>
      <c r="G560" s="6" t="s">
        <v>2050</v>
      </c>
      <c r="H560" s="6"/>
      <c r="I560" s="26" t="n">
        <v>2</v>
      </c>
      <c r="J560" s="26" t="n">
        <f aca="false">COUNTIFS('Control Library'!$A$5:$A$50,"AI-CTRL-012",'Control Library'!$R$5:$R$50,"Implemented")+COUNTIFS('Control Library'!$A$5:$A$50,"AI-CTRL-045",'Control Library'!$R$5:$R$50,"Implemented")</f>
        <v>0</v>
      </c>
      <c r="K560" s="43" t="str">
        <f aca="false">IF(I560=0,"No wiki control",IF(J560=I560,"Fully covered",IF(J560=0,"Not covered","Partly covered")))</f>
        <v>Not covered</v>
      </c>
      <c r="L560" s="9" t="s">
        <v>2034</v>
      </c>
    </row>
    <row r="561" customFormat="false" ht="23.85" hidden="false" customHeight="false" outlineLevel="0" collapsed="false">
      <c r="A561" s="53" t="s">
        <v>597</v>
      </c>
      <c r="B561" s="53" t="s">
        <v>598</v>
      </c>
      <c r="C561" s="5" t="s">
        <v>2051</v>
      </c>
      <c r="D561" s="6" t="s">
        <v>2052</v>
      </c>
      <c r="E561" s="6" t="s">
        <v>2053</v>
      </c>
      <c r="F561" s="6" t="s">
        <v>730</v>
      </c>
      <c r="G561" s="6" t="s">
        <v>1060</v>
      </c>
      <c r="H561" s="6"/>
      <c r="I561" s="26" t="n">
        <v>5</v>
      </c>
      <c r="J561" s="26" t="n">
        <f aca="false">COUNTIFS('Control Library'!$A$5:$A$50,"AI-CTRL-007",'Control Library'!$R$5:$R$50,"Implemented")+COUNTIFS('Control Library'!$A$5:$A$50,"AI-CTRL-014",'Control Library'!$R$5:$R$50,"Implemented")+COUNTIFS('Control Library'!$A$5:$A$50,"AI-CTRL-024",'Control Library'!$R$5:$R$50,"Implemented")+COUNTIFS('Control Library'!$A$5:$A$50,"AI-CTRL-029",'Control Library'!$R$5:$R$50,"Implemented")+COUNTIFS('Control Library'!$A$5:$A$50,"AI-CTRL-031",'Control Library'!$R$5:$R$50,"Implemented")</f>
        <v>0</v>
      </c>
      <c r="K561" s="43" t="str">
        <f aca="false">IF(I561=0,"No wiki control",IF(J561=I561,"Fully covered",IF(J561=0,"Not covered","Partly covered")))</f>
        <v>Not covered</v>
      </c>
      <c r="L561" s="9" t="s">
        <v>2034</v>
      </c>
    </row>
    <row r="562" customFormat="false" ht="35.05" hidden="false" customHeight="false" outlineLevel="0" collapsed="false">
      <c r="A562" s="53" t="s">
        <v>597</v>
      </c>
      <c r="B562" s="53" t="s">
        <v>598</v>
      </c>
      <c r="C562" s="5" t="s">
        <v>2054</v>
      </c>
      <c r="D562" s="6" t="s">
        <v>2055</v>
      </c>
      <c r="E562" s="6" t="s">
        <v>2056</v>
      </c>
      <c r="F562" s="6" t="s">
        <v>730</v>
      </c>
      <c r="G562" s="6" t="s">
        <v>2057</v>
      </c>
      <c r="H562" s="6"/>
      <c r="I562" s="26" t="n">
        <v>5</v>
      </c>
      <c r="J562" s="26" t="n">
        <f aca="false">COUNTIFS('Control Library'!$A$5:$A$50,"AI-CTRL-001",'Control Library'!$R$5:$R$50,"Implemented")+COUNTIFS('Control Library'!$A$5:$A$50,"AI-CTRL-011",'Control Library'!$R$5:$R$50,"Implemented")+COUNTIFS('Control Library'!$A$5:$A$50,"AI-CTRL-017",'Control Library'!$R$5:$R$50,"Implemented")+COUNTIFS('Control Library'!$A$5:$A$50,"AI-CTRL-029",'Control Library'!$R$5:$R$50,"Implemented")+COUNTIFS('Control Library'!$A$5:$A$50,"AI-CTRL-031",'Control Library'!$R$5:$R$50,"Implemented")</f>
        <v>0</v>
      </c>
      <c r="K562" s="43" t="str">
        <f aca="false">IF(I562=0,"No wiki control",IF(J562=I562,"Fully covered",IF(J562=0,"Not covered","Partly covered")))</f>
        <v>Not covered</v>
      </c>
      <c r="L562" s="9" t="s">
        <v>2034</v>
      </c>
    </row>
    <row r="563" customFormat="false" ht="35.05" hidden="false" customHeight="false" outlineLevel="0" collapsed="false">
      <c r="A563" s="53" t="s">
        <v>597</v>
      </c>
      <c r="B563" s="53" t="s">
        <v>598</v>
      </c>
      <c r="C563" s="5" t="s">
        <v>2058</v>
      </c>
      <c r="D563" s="6" t="s">
        <v>2059</v>
      </c>
      <c r="E563" s="6" t="s">
        <v>1192</v>
      </c>
      <c r="F563" s="6" t="s">
        <v>730</v>
      </c>
      <c r="G563" s="6" t="s">
        <v>1193</v>
      </c>
      <c r="H563" s="6"/>
      <c r="I563" s="26" t="n">
        <v>2</v>
      </c>
      <c r="J563" s="26" t="n">
        <f aca="false">COUNTIFS('Control Library'!$A$5:$A$50,"AI-CTRL-034",'Control Library'!$R$5:$R$50,"Implemented")+COUNTIFS('Control Library'!$A$5:$A$50,"AI-CTRL-038",'Control Library'!$R$5:$R$50,"Implemented")</f>
        <v>0</v>
      </c>
      <c r="K563" s="43" t="str">
        <f aca="false">IF(I563=0,"No wiki control",IF(J563=I563,"Fully covered",IF(J563=0,"Not covered","Partly covered")))</f>
        <v>Not covered</v>
      </c>
      <c r="L563" s="9" t="s">
        <v>2034</v>
      </c>
    </row>
    <row r="564" customFormat="false" ht="46.25" hidden="false" customHeight="false" outlineLevel="0" collapsed="false">
      <c r="A564" s="53" t="s">
        <v>597</v>
      </c>
      <c r="B564" s="53" t="s">
        <v>598</v>
      </c>
      <c r="C564" s="5" t="s">
        <v>2060</v>
      </c>
      <c r="D564" s="6" t="s">
        <v>2061</v>
      </c>
      <c r="E564" s="6" t="s">
        <v>2062</v>
      </c>
      <c r="F564" s="6" t="s">
        <v>730</v>
      </c>
      <c r="G564" s="6" t="s">
        <v>2063</v>
      </c>
      <c r="H564" s="6"/>
      <c r="I564" s="26" t="n">
        <v>6</v>
      </c>
      <c r="J564" s="26" t="n">
        <f aca="false">COUNTIFS('Control Library'!$A$5:$A$50,"AI-CTRL-011",'Control Library'!$R$5:$R$50,"Implemented")+COUNTIFS('Control Library'!$A$5:$A$50,"AI-CTRL-031",'Control Library'!$R$5:$R$50,"Implemented")+COUNTIFS('Control Library'!$A$5:$A$50,"AI-CTRL-033",'Control Library'!$R$5:$R$50,"Implemented")+COUNTIFS('Control Library'!$A$5:$A$50,"AI-CTRL-034",'Control Library'!$R$5:$R$50,"Implemented")+COUNTIFS('Control Library'!$A$5:$A$50,"AI-CTRL-037",'Control Library'!$R$5:$R$50,"Implemented")+COUNTIFS('Control Library'!$A$5:$A$50,"AI-CTRL-042",'Control Library'!$R$5:$R$50,"Implemented")</f>
        <v>0</v>
      </c>
      <c r="K564" s="43" t="str">
        <f aca="false">IF(I564=0,"No wiki control",IF(J564=I564,"Fully covered",IF(J564=0,"Not covered","Partly covered")))</f>
        <v>Not covered</v>
      </c>
      <c r="L564" s="9" t="s">
        <v>2034</v>
      </c>
    </row>
    <row r="565" customFormat="false" ht="35.05" hidden="false" customHeight="false" outlineLevel="0" collapsed="false">
      <c r="A565" s="53" t="s">
        <v>597</v>
      </c>
      <c r="B565" s="53" t="s">
        <v>598</v>
      </c>
      <c r="C565" s="5" t="s">
        <v>2064</v>
      </c>
      <c r="D565" s="6" t="s">
        <v>2065</v>
      </c>
      <c r="E565" s="6" t="s">
        <v>2066</v>
      </c>
      <c r="F565" s="6" t="s">
        <v>730</v>
      </c>
      <c r="G565" s="6" t="s">
        <v>2067</v>
      </c>
      <c r="H565" s="6"/>
      <c r="I565" s="26" t="n">
        <v>8</v>
      </c>
      <c r="J565" s="26" t="n">
        <f aca="false">COUNTIFS('Control Library'!$A$5:$A$50,"AI-CTRL-006",'Control Library'!$R$5:$R$50,"Implemented")+COUNTIFS('Control Library'!$A$5:$A$50,"AI-CTRL-015",'Control Library'!$R$5:$R$50,"Implemented")+COUNTIFS('Control Library'!$A$5:$A$50,"AI-CTRL-016",'Control Library'!$R$5:$R$50,"Implemented")+COUNTIFS('Control Library'!$A$5:$A$50,"AI-CTRL-018",'Control Library'!$R$5:$R$50,"Implemented")+COUNTIFS('Control Library'!$A$5:$A$50,"AI-CTRL-022",'Control Library'!$R$5:$R$50,"Implemented")+COUNTIFS('Control Library'!$A$5:$A$50,"AI-CTRL-023",'Control Library'!$R$5:$R$50,"Implemented")+COUNTIFS('Control Library'!$A$5:$A$50,"AI-CTRL-028",'Control Library'!$R$5:$R$50,"Implemented")+COUNTIFS('Control Library'!$A$5:$A$50,"AI-CTRL-030",'Control Library'!$R$5:$R$50,"Implemented")</f>
        <v>0</v>
      </c>
      <c r="K565" s="43" t="str">
        <f aca="false">IF(I565=0,"No wiki control",IF(J565=I565,"Fully covered",IF(J565=0,"Not covered","Partly covered")))</f>
        <v>Not covered</v>
      </c>
      <c r="L565" s="9" t="s">
        <v>2034</v>
      </c>
    </row>
    <row r="566" customFormat="false" ht="23.85" hidden="false" customHeight="false" outlineLevel="0" collapsed="false">
      <c r="A566" s="53" t="s">
        <v>597</v>
      </c>
      <c r="B566" s="53" t="s">
        <v>598</v>
      </c>
      <c r="C566" s="5" t="s">
        <v>2068</v>
      </c>
      <c r="D566" s="6" t="s">
        <v>2069</v>
      </c>
      <c r="E566" s="6" t="s">
        <v>530</v>
      </c>
      <c r="F566" s="6" t="s">
        <v>730</v>
      </c>
      <c r="G566" s="6" t="s">
        <v>533</v>
      </c>
      <c r="H566" s="6"/>
      <c r="I566" s="26" t="n">
        <v>1</v>
      </c>
      <c r="J566" s="26" t="n">
        <f aca="false">COUNTIFS('Control Library'!$A$5:$A$50,"AI-CTRL-044",'Control Library'!$R$5:$R$50,"Implemented")</f>
        <v>0</v>
      </c>
      <c r="K566" s="43" t="str">
        <f aca="false">IF(I566=0,"No wiki control",IF(J566=I566,"Fully covered",IF(J566=0,"Not covered","Partly covered")))</f>
        <v>Not covered</v>
      </c>
      <c r="L566" s="9" t="s">
        <v>2034</v>
      </c>
    </row>
    <row r="567" customFormat="false" ht="68.65" hidden="false" customHeight="false" outlineLevel="0" collapsed="false">
      <c r="A567" s="53" t="s">
        <v>597</v>
      </c>
      <c r="B567" s="53" t="s">
        <v>598</v>
      </c>
      <c r="C567" s="5" t="s">
        <v>2070</v>
      </c>
      <c r="D567" s="6" t="s">
        <v>2071</v>
      </c>
      <c r="E567" s="6" t="s">
        <v>2072</v>
      </c>
      <c r="F567" s="6" t="s">
        <v>730</v>
      </c>
      <c r="G567" s="6" t="s">
        <v>2073</v>
      </c>
      <c r="H567" s="6"/>
      <c r="I567" s="26" t="n">
        <v>15</v>
      </c>
      <c r="J567" s="26" t="n">
        <f aca="false">COUNTIFS('Control Library'!$A$5:$A$50,"AI-CTRL-002",'Control Library'!$R$5:$R$50,"Implemented")+COUNTIFS('Control Library'!$A$5:$A$50,"AI-CTRL-003",'Control Library'!$R$5:$R$50,"Implemented")+COUNTIFS('Control Library'!$A$5:$A$50,"AI-CTRL-004",'Control Library'!$R$5:$R$50,"Implemented")+COUNTIFS('Control Library'!$A$5:$A$50,"AI-CTRL-005",'Control Library'!$R$5:$R$50,"Implemented")+COUNTIFS('Control Library'!$A$5:$A$50,"AI-CTRL-007",'Control Library'!$R$5:$R$50,"Implemented")+COUNTIFS('Control Library'!$A$5:$A$50,"AI-CTRL-010",'Control Library'!$R$5:$R$50,"Implemented")+COUNTIFS('Control Library'!$A$5:$A$50,"AI-CTRL-013",'Control Library'!$R$5:$R$50,"Implemented")+COUNTIFS('Control Library'!$A$5:$A$50,"AI-CTRL-017",'Control Library'!$R$5:$R$50,"Implemented")+COUNTIFS('Control Library'!$A$5:$A$50,"AI-CTRL-018",'Control Library'!$R$5:$R$50,"Implemented")+COUNTIFS('Control Library'!$A$5:$A$50,"AI-CTRL-019",'Control Library'!$R$5:$R$50,"Implemented")+COUNTIFS('Control Library'!$A$5:$A$50,"AI-CTRL-021",'Control Library'!$R$5:$R$50,"Implemented")+COUNTIFS('Control Library'!$A$5:$A$50,"AI-CTRL-026",'Control Library'!$R$5:$R$50,"Implemented")+COUNTIFS('Control Library'!$A$5:$A$50,"AI-CTRL-028",'Control Library'!$R$5:$R$50,"Implemented")+COUNTIFS('Control Library'!$A$5:$A$50,"AI-CTRL-029",'Control Library'!$R$5:$R$50,"Implemented")+COUNTIFS('Control Library'!$A$5:$A$50,"AI-CTRL-032",'Control Library'!$R$5:$R$50,"Implemented")</f>
        <v>0</v>
      </c>
      <c r="K567" s="43" t="str">
        <f aca="false">IF(I567=0,"No wiki control",IF(J567=I567,"Fully covered",IF(J567=0,"Not covered","Partly covered")))</f>
        <v>Not covered</v>
      </c>
      <c r="L567" s="9" t="s">
        <v>2034</v>
      </c>
    </row>
    <row r="568" customFormat="false" ht="35.05" hidden="false" customHeight="false" outlineLevel="0" collapsed="false">
      <c r="A568" s="53" t="s">
        <v>597</v>
      </c>
      <c r="B568" s="53" t="s">
        <v>598</v>
      </c>
      <c r="C568" s="5" t="s">
        <v>2074</v>
      </c>
      <c r="D568" s="6" t="s">
        <v>2075</v>
      </c>
      <c r="E568" s="6" t="s">
        <v>2076</v>
      </c>
      <c r="F568" s="6" t="s">
        <v>730</v>
      </c>
      <c r="G568" s="6" t="s">
        <v>1601</v>
      </c>
      <c r="H568" s="6"/>
      <c r="I568" s="26" t="n">
        <v>4</v>
      </c>
      <c r="J568" s="26" t="n">
        <f aca="false">COUNTIFS('Control Library'!$A$5:$A$50,"AI-CTRL-027",'Control Library'!$R$5:$R$50,"Implemented")+COUNTIFS('Control Library'!$A$5:$A$50,"AI-CTRL-032",'Control Library'!$R$5:$R$50,"Implemented")+COUNTIFS('Control Library'!$A$5:$A$50,"AI-CTRL-036",'Control Library'!$R$5:$R$50,"Implemented")+COUNTIFS('Control Library'!$A$5:$A$50,"AI-CTRL-040",'Control Library'!$R$5:$R$50,"Implemented")</f>
        <v>0</v>
      </c>
      <c r="K568" s="43" t="str">
        <f aca="false">IF(I568=0,"No wiki control",IF(J568=I568,"Fully covered",IF(J568=0,"Not covered","Partly covered")))</f>
        <v>Not covered</v>
      </c>
      <c r="L568" s="9" t="s">
        <v>2034</v>
      </c>
    </row>
    <row r="569" customFormat="false" ht="57.45" hidden="false" customHeight="false" outlineLevel="0" collapsed="false">
      <c r="A569" s="53" t="s">
        <v>597</v>
      </c>
      <c r="B569" s="53" t="s">
        <v>598</v>
      </c>
      <c r="C569" s="5" t="s">
        <v>2077</v>
      </c>
      <c r="D569" s="6" t="s">
        <v>2078</v>
      </c>
      <c r="E569" s="6" t="s">
        <v>2079</v>
      </c>
      <c r="F569" s="6" t="s">
        <v>730</v>
      </c>
      <c r="G569" s="6" t="s">
        <v>2080</v>
      </c>
      <c r="H569" s="6"/>
      <c r="I569" s="26" t="n">
        <v>9</v>
      </c>
      <c r="J569" s="26" t="n">
        <f aca="false">COUNTIFS('Control Library'!$A$5:$A$50,"AI-CTRL-004",'Control Library'!$R$5:$R$50,"Implemented")+COUNTIFS('Control Library'!$A$5:$A$50,"AI-CTRL-005",'Control Library'!$R$5:$R$50,"Implemented")+COUNTIFS('Control Library'!$A$5:$A$50,"AI-CTRL-008",'Control Library'!$R$5:$R$50,"Implemented")+COUNTIFS('Control Library'!$A$5:$A$50,"AI-CTRL-020",'Control Library'!$R$5:$R$50,"Implemented")+COUNTIFS('Control Library'!$A$5:$A$50,"AI-CTRL-024",'Control Library'!$R$5:$R$50,"Implemented")+COUNTIFS('Control Library'!$A$5:$A$50,"AI-CTRL-027",'Control Library'!$R$5:$R$50,"Implemented")+COUNTIFS('Control Library'!$A$5:$A$50,"AI-CTRL-030",'Control Library'!$R$5:$R$50,"Implemented")+COUNTIFS('Control Library'!$A$5:$A$50,"AI-CTRL-032",'Control Library'!$R$5:$R$50,"Implemented")+COUNTIFS('Control Library'!$A$5:$A$50,"AI-CTRL-033",'Control Library'!$R$5:$R$50,"Implemented")</f>
        <v>0</v>
      </c>
      <c r="K569" s="43" t="str">
        <f aca="false">IF(I569=0,"No wiki control",IF(J569=I569,"Fully covered",IF(J569=0,"Not covered","Partly covered")))</f>
        <v>Not covered</v>
      </c>
      <c r="L569" s="9" t="s">
        <v>2034</v>
      </c>
    </row>
    <row r="570" customFormat="false" ht="23.85" hidden="false" customHeight="false" outlineLevel="0" collapsed="false">
      <c r="A570" s="53" t="s">
        <v>597</v>
      </c>
      <c r="B570" s="53" t="s">
        <v>598</v>
      </c>
      <c r="C570" s="5" t="s">
        <v>2081</v>
      </c>
      <c r="D570" s="6"/>
      <c r="E570" s="6"/>
      <c r="F570" s="6" t="s">
        <v>640</v>
      </c>
      <c r="G570" s="6"/>
      <c r="H570" s="6"/>
      <c r="I570" s="26" t="n">
        <v>0</v>
      </c>
      <c r="J570" s="26" t="n">
        <f aca="false">0</f>
        <v>0</v>
      </c>
      <c r="K570" s="43" t="str">
        <f aca="false">IF(I570=0,"No wiki control",IF(J570=I570,"Fully covered",IF(J570=0,"Not covered","Partly covered")))</f>
        <v>No wiki control</v>
      </c>
      <c r="L570" s="9" t="s">
        <v>2034</v>
      </c>
    </row>
    <row r="571" customFormat="false" ht="23.85" hidden="false" customHeight="false" outlineLevel="0" collapsed="false">
      <c r="A571" s="53" t="s">
        <v>597</v>
      </c>
      <c r="B571" s="53" t="s">
        <v>598</v>
      </c>
      <c r="C571" s="5" t="s">
        <v>2082</v>
      </c>
      <c r="D571" s="6" t="s">
        <v>2083</v>
      </c>
      <c r="E571" s="6" t="s">
        <v>2084</v>
      </c>
      <c r="F571" s="6" t="s">
        <v>730</v>
      </c>
      <c r="G571" s="6" t="s">
        <v>2085</v>
      </c>
      <c r="H571" s="6"/>
      <c r="I571" s="26" t="n">
        <v>2</v>
      </c>
      <c r="J571" s="26" t="n">
        <f aca="false">COUNTIFS('Control Library'!$A$5:$A$50,"AI-CTRL-035",'Control Library'!$R$5:$R$50,"Implemented")+COUNTIFS('Control Library'!$A$5:$A$50,"AI-CTRL-040",'Control Library'!$R$5:$R$50,"Implemented")</f>
        <v>0</v>
      </c>
      <c r="K571" s="43" t="str">
        <f aca="false">IF(I571=0,"No wiki control",IF(J571=I571,"Fully covered",IF(J571=0,"Not covered","Partly covered")))</f>
        <v>Not covered</v>
      </c>
      <c r="L571" s="9" t="s">
        <v>2034</v>
      </c>
    </row>
    <row r="572" customFormat="false" ht="23.85" hidden="false" customHeight="false" outlineLevel="0" collapsed="false">
      <c r="A572" s="53" t="s">
        <v>597</v>
      </c>
      <c r="B572" s="53" t="s">
        <v>598</v>
      </c>
      <c r="C572" s="5" t="s">
        <v>2086</v>
      </c>
      <c r="D572" s="6" t="s">
        <v>2087</v>
      </c>
      <c r="E572" s="6" t="s">
        <v>453</v>
      </c>
      <c r="F572" s="6" t="s">
        <v>730</v>
      </c>
      <c r="G572" s="6" t="s">
        <v>456</v>
      </c>
      <c r="H572" s="6"/>
      <c r="I572" s="26" t="n">
        <v>1</v>
      </c>
      <c r="J572" s="26" t="n">
        <f aca="false">COUNTIFS('Control Library'!$A$5:$A$50,"AI-CTRL-035",'Control Library'!$R$5:$R$50,"Implemented")</f>
        <v>0</v>
      </c>
      <c r="K572" s="43" t="str">
        <f aca="false">IF(I572=0,"No wiki control",IF(J572=I572,"Fully covered",IF(J572=0,"Not covered","Partly covered")))</f>
        <v>Not covered</v>
      </c>
      <c r="L572" s="9" t="s">
        <v>2034</v>
      </c>
    </row>
    <row r="573" customFormat="false" ht="23.85" hidden="false" customHeight="false" outlineLevel="0" collapsed="false">
      <c r="A573" s="53" t="s">
        <v>597</v>
      </c>
      <c r="B573" s="53" t="s">
        <v>598</v>
      </c>
      <c r="C573" s="5" t="s">
        <v>2088</v>
      </c>
      <c r="D573" s="6" t="s">
        <v>2089</v>
      </c>
      <c r="E573" s="6" t="s">
        <v>1662</v>
      </c>
      <c r="F573" s="6" t="s">
        <v>730</v>
      </c>
      <c r="G573" s="6" t="s">
        <v>1663</v>
      </c>
      <c r="H573" s="6"/>
      <c r="I573" s="26" t="n">
        <v>2</v>
      </c>
      <c r="J573" s="26" t="n">
        <f aca="false">COUNTIFS('Control Library'!$A$5:$A$50,"AI-CTRL-035",'Control Library'!$R$5:$R$50,"Implemented")+COUNTIFS('Control Library'!$A$5:$A$50,"AI-CTRL-043",'Control Library'!$R$5:$R$50,"Implemented")</f>
        <v>0</v>
      </c>
      <c r="K573" s="43" t="str">
        <f aca="false">IF(I573=0,"No wiki control",IF(J573=I573,"Fully covered",IF(J573=0,"Not covered","Partly covered")))</f>
        <v>Not covered</v>
      </c>
      <c r="L573" s="9" t="s">
        <v>2034</v>
      </c>
    </row>
    <row r="574" customFormat="false" ht="23.85" hidden="false" customHeight="false" outlineLevel="0" collapsed="false">
      <c r="A574" s="53" t="s">
        <v>597</v>
      </c>
      <c r="B574" s="53" t="s">
        <v>598</v>
      </c>
      <c r="C574" s="5" t="s">
        <v>2090</v>
      </c>
      <c r="D574" s="6" t="s">
        <v>2091</v>
      </c>
      <c r="E574" s="6" t="s">
        <v>1769</v>
      </c>
      <c r="F574" s="6" t="s">
        <v>730</v>
      </c>
      <c r="G574" s="6" t="s">
        <v>1770</v>
      </c>
      <c r="H574" s="6"/>
      <c r="I574" s="26" t="n">
        <v>2</v>
      </c>
      <c r="J574" s="26" t="n">
        <f aca="false">COUNTIFS('Control Library'!$A$5:$A$50,"AI-CTRL-025",'Control Library'!$R$5:$R$50,"Implemented")+COUNTIFS('Control Library'!$A$5:$A$50,"AI-CTRL-035",'Control Library'!$R$5:$R$50,"Implemented")</f>
        <v>0</v>
      </c>
      <c r="K574" s="43" t="str">
        <f aca="false">IF(I574=0,"No wiki control",IF(J574=I574,"Fully covered",IF(J574=0,"Not covered","Partly covered")))</f>
        <v>Not covered</v>
      </c>
      <c r="L574" s="9" t="s">
        <v>2034</v>
      </c>
    </row>
    <row r="575" customFormat="false" ht="23.85" hidden="false" customHeight="false" outlineLevel="0" collapsed="false">
      <c r="A575" s="53" t="s">
        <v>597</v>
      </c>
      <c r="B575" s="53" t="s">
        <v>598</v>
      </c>
      <c r="C575" s="5" t="s">
        <v>2092</v>
      </c>
      <c r="D575" s="6" t="s">
        <v>2093</v>
      </c>
      <c r="E575" s="6" t="s">
        <v>1769</v>
      </c>
      <c r="F575" s="6" t="s">
        <v>730</v>
      </c>
      <c r="G575" s="6" t="s">
        <v>1770</v>
      </c>
      <c r="H575" s="6"/>
      <c r="I575" s="26" t="n">
        <v>2</v>
      </c>
      <c r="J575" s="26" t="n">
        <f aca="false">COUNTIFS('Control Library'!$A$5:$A$50,"AI-CTRL-025",'Control Library'!$R$5:$R$50,"Implemented")+COUNTIFS('Control Library'!$A$5:$A$50,"AI-CTRL-035",'Control Library'!$R$5:$R$50,"Implemented")</f>
        <v>0</v>
      </c>
      <c r="K575" s="43" t="str">
        <f aca="false">IF(I575=0,"No wiki control",IF(J575=I575,"Fully covered",IF(J575=0,"Not covered","Partly covered")))</f>
        <v>Not covered</v>
      </c>
      <c r="L575" s="9" t="s">
        <v>2034</v>
      </c>
    </row>
    <row r="576" customFormat="false" ht="23.85" hidden="false" customHeight="false" outlineLevel="0" collapsed="false">
      <c r="A576" s="53" t="s">
        <v>599</v>
      </c>
      <c r="B576" s="53" t="s">
        <v>598</v>
      </c>
      <c r="C576" s="5" t="s">
        <v>2094</v>
      </c>
      <c r="D576" s="6" t="s">
        <v>2095</v>
      </c>
      <c r="E576" s="6" t="s">
        <v>2096</v>
      </c>
      <c r="F576" s="6" t="s">
        <v>730</v>
      </c>
      <c r="G576" s="6" t="s">
        <v>258</v>
      </c>
      <c r="H576" s="6"/>
      <c r="I576" s="26" t="n">
        <v>2</v>
      </c>
      <c r="J576" s="26" t="n">
        <f aca="false">COUNTIFS('Control Library'!$A$5:$A$50,"AI-CTRL-001",'Control Library'!$R$5:$R$50,"Implemented")+COUNTIFS('Control Library'!$A$5:$A$50,"AI-CTRL-011",'Control Library'!$R$5:$R$50,"Implemented")</f>
        <v>0</v>
      </c>
      <c r="K576" s="43" t="str">
        <f aca="false">IF(I576=0,"No wiki control",IF(J576=I576,"Fully covered",IF(J576=0,"Not covered","Partly covered")))</f>
        <v>Not covered</v>
      </c>
      <c r="L576" s="9" t="s">
        <v>2097</v>
      </c>
    </row>
    <row r="577" customFormat="false" ht="23.85" hidden="false" customHeight="false" outlineLevel="0" collapsed="false">
      <c r="A577" s="53" t="s">
        <v>599</v>
      </c>
      <c r="B577" s="53" t="s">
        <v>598</v>
      </c>
      <c r="C577" s="5" t="s">
        <v>2098</v>
      </c>
      <c r="D577" s="6" t="s">
        <v>2099</v>
      </c>
      <c r="E577" s="6" t="s">
        <v>2100</v>
      </c>
      <c r="F577" s="6" t="s">
        <v>730</v>
      </c>
      <c r="G577" s="6" t="s">
        <v>2101</v>
      </c>
      <c r="H577" s="6"/>
      <c r="I577" s="26" t="n">
        <v>4</v>
      </c>
      <c r="J577" s="26" t="n">
        <f aca="false">COUNTIFS('Control Library'!$A$5:$A$50,"AI-CTRL-001",'Control Library'!$R$5:$R$50,"Implemented")+COUNTIFS('Control Library'!$A$5:$A$50,"AI-CTRL-011",'Control Library'!$R$5:$R$50,"Implemented")+COUNTIFS('Control Library'!$A$5:$A$50,"AI-CTRL-024",'Control Library'!$R$5:$R$50,"Implemented")+COUNTIFS('Control Library'!$A$5:$A$50,"AI-CTRL-031",'Control Library'!$R$5:$R$50,"Implemented")</f>
        <v>0</v>
      </c>
      <c r="K577" s="43" t="str">
        <f aca="false">IF(I577=0,"No wiki control",IF(J577=I577,"Fully covered",IF(J577=0,"Not covered","Partly covered")))</f>
        <v>Not covered</v>
      </c>
      <c r="L577" s="9" t="s">
        <v>2097</v>
      </c>
    </row>
    <row r="578" customFormat="false" ht="57.45" hidden="false" customHeight="false" outlineLevel="0" collapsed="false">
      <c r="A578" s="53" t="s">
        <v>599</v>
      </c>
      <c r="B578" s="53" t="s">
        <v>598</v>
      </c>
      <c r="C578" s="5" t="s">
        <v>2102</v>
      </c>
      <c r="D578" s="6" t="s">
        <v>2103</v>
      </c>
      <c r="E578" s="6" t="s">
        <v>2104</v>
      </c>
      <c r="F578" s="6" t="s">
        <v>730</v>
      </c>
      <c r="G578" s="6" t="s">
        <v>2105</v>
      </c>
      <c r="H578" s="6"/>
      <c r="I578" s="26" t="n">
        <v>12</v>
      </c>
      <c r="J578" s="26" t="n">
        <f aca="false">COUNTIFS('Control Library'!$A$5:$A$50,"AI-CTRL-002",'Control Library'!$R$5:$R$50,"Implemented")+COUNTIFS('Control Library'!$A$5:$A$50,"AI-CTRL-003",'Control Library'!$R$5:$R$50,"Implemented")+COUNTIFS('Control Library'!$A$5:$A$50,"AI-CTRL-004",'Control Library'!$R$5:$R$50,"Implemented")+COUNTIFS('Control Library'!$A$5:$A$50,"AI-CTRL-007",'Control Library'!$R$5:$R$50,"Implemented")+COUNTIFS('Control Library'!$A$5:$A$50,"AI-CTRL-010",'Control Library'!$R$5:$R$50,"Implemented")+COUNTIFS('Control Library'!$A$5:$A$50,"AI-CTRL-013",'Control Library'!$R$5:$R$50,"Implemented")+COUNTIFS('Control Library'!$A$5:$A$50,"AI-CTRL-017",'Control Library'!$R$5:$R$50,"Implemented")+COUNTIFS('Control Library'!$A$5:$A$50,"AI-CTRL-018",'Control Library'!$R$5:$R$50,"Implemented")+COUNTIFS('Control Library'!$A$5:$A$50,"AI-CTRL-021",'Control Library'!$R$5:$R$50,"Implemented")+COUNTIFS('Control Library'!$A$5:$A$50,"AI-CTRL-026",'Control Library'!$R$5:$R$50,"Implemented")+COUNTIFS('Control Library'!$A$5:$A$50,"AI-CTRL-028",'Control Library'!$R$5:$R$50,"Implemented")+COUNTIFS('Control Library'!$A$5:$A$50,"AI-CTRL-029",'Control Library'!$R$5:$R$50,"Implemented")</f>
        <v>0</v>
      </c>
      <c r="K578" s="43" t="str">
        <f aca="false">IF(I578=0,"No wiki control",IF(J578=I578,"Fully covered",IF(J578=0,"Not covered","Partly covered")))</f>
        <v>Not covered</v>
      </c>
      <c r="L578" s="9" t="s">
        <v>2097</v>
      </c>
    </row>
    <row r="579" customFormat="false" ht="23.85" hidden="false" customHeight="false" outlineLevel="0" collapsed="false">
      <c r="A579" s="53" t="s">
        <v>599</v>
      </c>
      <c r="B579" s="53" t="s">
        <v>598</v>
      </c>
      <c r="C579" s="5" t="s">
        <v>2106</v>
      </c>
      <c r="D579" s="6" t="s">
        <v>2107</v>
      </c>
      <c r="E579" s="6" t="s">
        <v>2108</v>
      </c>
      <c r="F579" s="6" t="s">
        <v>730</v>
      </c>
      <c r="G579" s="6" t="s">
        <v>1875</v>
      </c>
      <c r="H579" s="6"/>
      <c r="I579" s="26" t="n">
        <v>3</v>
      </c>
      <c r="J579" s="26" t="n">
        <f aca="false">COUNTIFS('Control Library'!$A$5:$A$50,"AI-CTRL-027",'Control Library'!$R$5:$R$50,"Implemented")+COUNTIFS('Control Library'!$A$5:$A$50,"AI-CTRL-030",'Control Library'!$R$5:$R$50,"Implemented")+COUNTIFS('Control Library'!$A$5:$A$50,"AI-CTRL-032",'Control Library'!$R$5:$R$50,"Implemented")</f>
        <v>0</v>
      </c>
      <c r="K579" s="43" t="str">
        <f aca="false">IF(I579=0,"No wiki control",IF(J579=I579,"Fully covered",IF(J579=0,"Not covered","Partly covered")))</f>
        <v>Not covered</v>
      </c>
      <c r="L579" s="9" t="s">
        <v>2097</v>
      </c>
    </row>
    <row r="580" customFormat="false" ht="23.85" hidden="false" customHeight="false" outlineLevel="0" collapsed="false">
      <c r="A580" s="53" t="s">
        <v>599</v>
      </c>
      <c r="B580" s="53" t="s">
        <v>598</v>
      </c>
      <c r="C580" s="5" t="s">
        <v>2109</v>
      </c>
      <c r="D580" s="6" t="s">
        <v>2110</v>
      </c>
      <c r="E580" s="6" t="s">
        <v>801</v>
      </c>
      <c r="F580" s="6" t="s">
        <v>730</v>
      </c>
      <c r="G580" s="6" t="s">
        <v>802</v>
      </c>
      <c r="H580" s="6"/>
      <c r="I580" s="26" t="n">
        <v>2</v>
      </c>
      <c r="J580" s="26" t="n">
        <f aca="false">COUNTIFS('Control Library'!$A$5:$A$50,"AI-CTRL-015",'Control Library'!$R$5:$R$50,"Implemented")+COUNTIFS('Control Library'!$A$5:$A$50,"AI-CTRL-016",'Control Library'!$R$5:$R$50,"Implemented")</f>
        <v>0</v>
      </c>
      <c r="K580" s="43" t="str">
        <f aca="false">IF(I580=0,"No wiki control",IF(J580=I580,"Fully covered",IF(J580=0,"Not covered","Partly covered")))</f>
        <v>Not covered</v>
      </c>
      <c r="L580" s="9" t="s">
        <v>2097</v>
      </c>
    </row>
    <row r="581" customFormat="false" ht="35.05" hidden="false" customHeight="false" outlineLevel="0" collapsed="false">
      <c r="A581" s="53" t="s">
        <v>599</v>
      </c>
      <c r="B581" s="53" t="s">
        <v>598</v>
      </c>
      <c r="C581" s="5" t="s">
        <v>2111</v>
      </c>
      <c r="D581" s="6" t="s">
        <v>2112</v>
      </c>
      <c r="E581" s="6" t="s">
        <v>2113</v>
      </c>
      <c r="F581" s="6" t="s">
        <v>730</v>
      </c>
      <c r="G581" s="6" t="s">
        <v>2114</v>
      </c>
      <c r="H581" s="6"/>
      <c r="I581" s="26" t="n">
        <v>7</v>
      </c>
      <c r="J581" s="26" t="n">
        <f aca="false">COUNTIFS('Control Library'!$A$5:$A$50,"AI-CTRL-006",'Control Library'!$R$5:$R$50,"Implemented")+COUNTIFS('Control Library'!$A$5:$A$50,"AI-CTRL-015",'Control Library'!$R$5:$R$50,"Implemented")+COUNTIFS('Control Library'!$A$5:$A$50,"AI-CTRL-016",'Control Library'!$R$5:$R$50,"Implemented")+COUNTIFS('Control Library'!$A$5:$A$50,"AI-CTRL-018",'Control Library'!$R$5:$R$50,"Implemented")+COUNTIFS('Control Library'!$A$5:$A$50,"AI-CTRL-022",'Control Library'!$R$5:$R$50,"Implemented")+COUNTIFS('Control Library'!$A$5:$A$50,"AI-CTRL-025",'Control Library'!$R$5:$R$50,"Implemented")+COUNTIFS('Control Library'!$A$5:$A$50,"AI-CTRL-028",'Control Library'!$R$5:$R$50,"Implemented")</f>
        <v>0</v>
      </c>
      <c r="K581" s="43" t="str">
        <f aca="false">IF(I581=0,"No wiki control",IF(J581=I581,"Fully covered",IF(J581=0,"Not covered","Partly covered")))</f>
        <v>Not covered</v>
      </c>
      <c r="L581" s="9" t="s">
        <v>2097</v>
      </c>
    </row>
    <row r="582" customFormat="false" ht="35.05" hidden="false" customHeight="false" outlineLevel="0" collapsed="false">
      <c r="A582" s="53" t="s">
        <v>599</v>
      </c>
      <c r="B582" s="53" t="s">
        <v>598</v>
      </c>
      <c r="C582" s="5" t="s">
        <v>2115</v>
      </c>
      <c r="D582" s="6" t="s">
        <v>2116</v>
      </c>
      <c r="E582" s="6" t="s">
        <v>1837</v>
      </c>
      <c r="F582" s="6" t="s">
        <v>730</v>
      </c>
      <c r="G582" s="6" t="s">
        <v>1838</v>
      </c>
      <c r="H582" s="6"/>
      <c r="I582" s="26" t="n">
        <v>3</v>
      </c>
      <c r="J582" s="26" t="n">
        <f aca="false">COUNTIFS('Control Library'!$A$5:$A$50,"AI-CTRL-031",'Control Library'!$R$5:$R$50,"Implemented")+COUNTIFS('Control Library'!$A$5:$A$50,"AI-CTRL-032",'Control Library'!$R$5:$R$50,"Implemented")+COUNTIFS('Control Library'!$A$5:$A$50,"AI-CTRL-034",'Control Library'!$R$5:$R$50,"Implemented")</f>
        <v>0</v>
      </c>
      <c r="K582" s="43" t="str">
        <f aca="false">IF(I582=0,"No wiki control",IF(J582=I582,"Fully covered",IF(J582=0,"Not covered","Partly covered")))</f>
        <v>Not covered</v>
      </c>
      <c r="L582" s="9" t="s">
        <v>2097</v>
      </c>
    </row>
    <row r="583" customFormat="false" ht="23.85" hidden="false" customHeight="false" outlineLevel="0" collapsed="false">
      <c r="A583" s="53" t="s">
        <v>599</v>
      </c>
      <c r="B583" s="53" t="s">
        <v>598</v>
      </c>
      <c r="C583" s="5" t="s">
        <v>2117</v>
      </c>
      <c r="D583" s="6" t="s">
        <v>2118</v>
      </c>
      <c r="E583" s="6" t="s">
        <v>1107</v>
      </c>
      <c r="F583" s="6" t="s">
        <v>730</v>
      </c>
      <c r="G583" s="6" t="s">
        <v>1108</v>
      </c>
      <c r="H583" s="6"/>
      <c r="I583" s="26" t="n">
        <v>3</v>
      </c>
      <c r="J583" s="26" t="n">
        <f aca="false">COUNTIFS('Control Library'!$A$5:$A$50,"AI-CTRL-006",'Control Library'!$R$5:$R$50,"Implemented")+COUNTIFS('Control Library'!$A$5:$A$50,"AI-CTRL-008",'Control Library'!$R$5:$R$50,"Implemented")+COUNTIFS('Control Library'!$A$5:$A$50,"AI-CTRL-009",'Control Library'!$R$5:$R$50,"Implemented")</f>
        <v>0</v>
      </c>
      <c r="K583" s="43" t="str">
        <f aca="false">IF(I583=0,"No wiki control",IF(J583=I583,"Fully covered",IF(J583=0,"Not covered","Partly covered")))</f>
        <v>Not covered</v>
      </c>
      <c r="L583" s="9" t="s">
        <v>2097</v>
      </c>
    </row>
    <row r="584" customFormat="false" ht="23.85" hidden="false" customHeight="false" outlineLevel="0" collapsed="false">
      <c r="A584" s="53" t="s">
        <v>599</v>
      </c>
      <c r="B584" s="53" t="s">
        <v>598</v>
      </c>
      <c r="C584" s="5" t="s">
        <v>2119</v>
      </c>
      <c r="D584" s="6" t="s">
        <v>2120</v>
      </c>
      <c r="E584" s="6" t="s">
        <v>2121</v>
      </c>
      <c r="F584" s="6" t="s">
        <v>730</v>
      </c>
      <c r="G584" s="6" t="s">
        <v>2122</v>
      </c>
      <c r="H584" s="6"/>
      <c r="I584" s="26" t="n">
        <v>3</v>
      </c>
      <c r="J584" s="26" t="n">
        <f aca="false">COUNTIFS('Control Library'!$A$5:$A$50,"AI-CTRL-001",'Control Library'!$R$5:$R$50,"Implemented")+COUNTIFS('Control Library'!$A$5:$A$50,"AI-CTRL-003",'Control Library'!$R$5:$R$50,"Implemented")+COUNTIFS('Control Library'!$A$5:$A$50,"AI-CTRL-010",'Control Library'!$R$5:$R$50,"Implemented")</f>
        <v>0</v>
      </c>
      <c r="K584" s="43" t="str">
        <f aca="false">IF(I584=0,"No wiki control",IF(J584=I584,"Fully covered",IF(J584=0,"Not covered","Partly covered")))</f>
        <v>Not covered</v>
      </c>
      <c r="L584" s="9" t="s">
        <v>2097</v>
      </c>
    </row>
    <row r="585" customFormat="false" ht="23.85" hidden="false" customHeight="false" outlineLevel="0" collapsed="false">
      <c r="A585" s="53" t="s">
        <v>599</v>
      </c>
      <c r="B585" s="53" t="s">
        <v>598</v>
      </c>
      <c r="C585" s="5" t="s">
        <v>2123</v>
      </c>
      <c r="D585" s="6" t="s">
        <v>2124</v>
      </c>
      <c r="E585" s="6" t="s">
        <v>339</v>
      </c>
      <c r="F585" s="6" t="s">
        <v>730</v>
      </c>
      <c r="G585" s="6" t="s">
        <v>343</v>
      </c>
      <c r="H585" s="6"/>
      <c r="I585" s="26" t="n">
        <v>1</v>
      </c>
      <c r="J585" s="26" t="n">
        <f aca="false">COUNTIFS('Control Library'!$A$5:$A$50,"AI-CTRL-021",'Control Library'!$R$5:$R$50,"Implemented")</f>
        <v>0</v>
      </c>
      <c r="K585" s="43" t="str">
        <f aca="false">IF(I585=0,"No wiki control",IF(J585=I585,"Fully covered",IF(J585=0,"Not covered","Partly covered")))</f>
        <v>Not covered</v>
      </c>
      <c r="L585" s="9" t="s">
        <v>2097</v>
      </c>
    </row>
    <row r="586" customFormat="false" ht="23.85" hidden="false" customHeight="false" outlineLevel="0" collapsed="false">
      <c r="A586" s="53" t="s">
        <v>599</v>
      </c>
      <c r="B586" s="53" t="s">
        <v>598</v>
      </c>
      <c r="C586" s="5" t="s">
        <v>2125</v>
      </c>
      <c r="D586" s="6" t="s">
        <v>2126</v>
      </c>
      <c r="E586" s="6" t="s">
        <v>495</v>
      </c>
      <c r="F586" s="6" t="s">
        <v>730</v>
      </c>
      <c r="G586" s="6" t="s">
        <v>499</v>
      </c>
      <c r="H586" s="6"/>
      <c r="I586" s="26" t="n">
        <v>1</v>
      </c>
      <c r="J586" s="26" t="n">
        <f aca="false">COUNTIFS('Control Library'!$A$5:$A$50,"AI-CTRL-040",'Control Library'!$R$5:$R$50,"Implemented")</f>
        <v>0</v>
      </c>
      <c r="K586" s="43" t="str">
        <f aca="false">IF(I586=0,"No wiki control",IF(J586=I586,"Fully covered",IF(J586=0,"Not covered","Partly covered")))</f>
        <v>Not covered</v>
      </c>
      <c r="L586" s="9" t="s">
        <v>2097</v>
      </c>
    </row>
    <row r="587" customFormat="false" ht="23.85" hidden="false" customHeight="false" outlineLevel="0" collapsed="false">
      <c r="A587" s="53" t="s">
        <v>599</v>
      </c>
      <c r="B587" s="53" t="s">
        <v>598</v>
      </c>
      <c r="C587" s="5" t="s">
        <v>2127</v>
      </c>
      <c r="D587" s="6" t="s">
        <v>2128</v>
      </c>
      <c r="E587" s="6" t="s">
        <v>1874</v>
      </c>
      <c r="F587" s="6" t="s">
        <v>730</v>
      </c>
      <c r="G587" s="6" t="s">
        <v>1875</v>
      </c>
      <c r="H587" s="6"/>
      <c r="I587" s="26" t="n">
        <v>2</v>
      </c>
      <c r="J587" s="26" t="n">
        <f aca="false">COUNTIFS('Control Library'!$A$5:$A$50,"AI-CTRL-027",'Control Library'!$R$5:$R$50,"Implemented")+COUNTIFS('Control Library'!$A$5:$A$50,"AI-CTRL-032",'Control Library'!$R$5:$R$50,"Implemented")</f>
        <v>0</v>
      </c>
      <c r="K587" s="43" t="str">
        <f aca="false">IF(I587=0,"No wiki control",IF(J587=I587,"Fully covered",IF(J587=0,"Not covered","Partly covered")))</f>
        <v>Not covered</v>
      </c>
      <c r="L587" s="9" t="s">
        <v>2097</v>
      </c>
    </row>
    <row r="588" customFormat="false" ht="23.85" hidden="false" customHeight="false" outlineLevel="0" collapsed="false">
      <c r="A588" s="53" t="s">
        <v>599</v>
      </c>
      <c r="B588" s="53" t="s">
        <v>598</v>
      </c>
      <c r="C588" s="5" t="s">
        <v>2129</v>
      </c>
      <c r="D588" s="6" t="s">
        <v>2130</v>
      </c>
      <c r="E588" s="6" t="s">
        <v>2131</v>
      </c>
      <c r="F588" s="6" t="s">
        <v>730</v>
      </c>
      <c r="G588" s="6" t="s">
        <v>2132</v>
      </c>
      <c r="H588" s="6"/>
      <c r="I588" s="26" t="n">
        <v>3</v>
      </c>
      <c r="J588" s="26" t="n">
        <f aca="false">COUNTIFS('Control Library'!$A$5:$A$50,"AI-CTRL-005",'Control Library'!$R$5:$R$50,"Implemented")+COUNTIFS('Control Library'!$A$5:$A$50,"AI-CTRL-009",'Control Library'!$R$5:$R$50,"Implemented")+COUNTIFS('Control Library'!$A$5:$A$50,"AI-CTRL-032",'Control Library'!$R$5:$R$50,"Implemented")</f>
        <v>0</v>
      </c>
      <c r="K588" s="43" t="str">
        <f aca="false">IF(I588=0,"No wiki control",IF(J588=I588,"Fully covered",IF(J588=0,"Not covered","Partly covered")))</f>
        <v>Not covered</v>
      </c>
      <c r="L588" s="9" t="s">
        <v>2097</v>
      </c>
    </row>
    <row r="589" customFormat="false" ht="23.85" hidden="false" customHeight="false" outlineLevel="0" collapsed="false">
      <c r="A589" s="53" t="s">
        <v>599</v>
      </c>
      <c r="B589" s="53" t="s">
        <v>598</v>
      </c>
      <c r="C589" s="5" t="s">
        <v>2133</v>
      </c>
      <c r="D589" s="6" t="s">
        <v>2134</v>
      </c>
      <c r="E589" s="6" t="s">
        <v>530</v>
      </c>
      <c r="F589" s="6" t="s">
        <v>730</v>
      </c>
      <c r="G589" s="6" t="s">
        <v>533</v>
      </c>
      <c r="H589" s="6"/>
      <c r="I589" s="26" t="n">
        <v>1</v>
      </c>
      <c r="J589" s="26" t="n">
        <f aca="false">COUNTIFS('Control Library'!$A$5:$A$50,"AI-CTRL-044",'Control Library'!$R$5:$R$50,"Implemented")</f>
        <v>0</v>
      </c>
      <c r="K589" s="43" t="str">
        <f aca="false">IF(I589=0,"No wiki control",IF(J589=I589,"Fully covered",IF(J589=0,"Not covered","Partly covered")))</f>
        <v>Not covered</v>
      </c>
      <c r="L589" s="9" t="s">
        <v>2097</v>
      </c>
    </row>
    <row r="590" customFormat="false" ht="23.85" hidden="false" customHeight="false" outlineLevel="0" collapsed="false">
      <c r="A590" s="53" t="s">
        <v>599</v>
      </c>
      <c r="B590" s="53" t="s">
        <v>598</v>
      </c>
      <c r="C590" s="5" t="s">
        <v>2135</v>
      </c>
      <c r="D590" s="6" t="s">
        <v>2136</v>
      </c>
      <c r="E590" s="6" t="s">
        <v>2137</v>
      </c>
      <c r="F590" s="6" t="s">
        <v>730</v>
      </c>
      <c r="G590" s="6" t="s">
        <v>1060</v>
      </c>
      <c r="H590" s="6"/>
      <c r="I590" s="26" t="n">
        <v>4</v>
      </c>
      <c r="J590" s="26" t="n">
        <f aca="false">COUNTIFS('Control Library'!$A$5:$A$50,"AI-CTRL-007",'Control Library'!$R$5:$R$50,"Implemented")+COUNTIFS('Control Library'!$A$5:$A$50,"AI-CTRL-014",'Control Library'!$R$5:$R$50,"Implemented")+COUNTIFS('Control Library'!$A$5:$A$50,"AI-CTRL-024",'Control Library'!$R$5:$R$50,"Implemented")+COUNTIFS('Control Library'!$A$5:$A$50,"AI-CTRL-031",'Control Library'!$R$5:$R$50,"Implemented")</f>
        <v>0</v>
      </c>
      <c r="K590" s="43" t="str">
        <f aca="false">IF(I590=0,"No wiki control",IF(J590=I590,"Fully covered",IF(J590=0,"Not covered","Partly covered")))</f>
        <v>Not covered</v>
      </c>
      <c r="L590" s="9" t="s">
        <v>2097</v>
      </c>
    </row>
    <row r="591" customFormat="false" ht="46.25" hidden="false" customHeight="false" outlineLevel="0" collapsed="false">
      <c r="A591" s="53" t="s">
        <v>599</v>
      </c>
      <c r="B591" s="53" t="s">
        <v>598</v>
      </c>
      <c r="C591" s="5" t="s">
        <v>2138</v>
      </c>
      <c r="D591" s="6" t="s">
        <v>2139</v>
      </c>
      <c r="E591" s="6" t="s">
        <v>2140</v>
      </c>
      <c r="F591" s="6" t="s">
        <v>730</v>
      </c>
      <c r="G591" s="6" t="s">
        <v>2141</v>
      </c>
      <c r="H591" s="6"/>
      <c r="I591" s="26" t="n">
        <v>8</v>
      </c>
      <c r="J591" s="26" t="n">
        <f aca="false">COUNTIFS('Control Library'!$A$5:$A$50,"AI-CTRL-004",'Control Library'!$R$5:$R$50,"Implemented")+COUNTIFS('Control Library'!$A$5:$A$50,"AI-CTRL-005",'Control Library'!$R$5:$R$50,"Implemented")+COUNTIFS('Control Library'!$A$5:$A$50,"AI-CTRL-020",'Control Library'!$R$5:$R$50,"Implemented")+COUNTIFS('Control Library'!$A$5:$A$50,"AI-CTRL-024",'Control Library'!$R$5:$R$50,"Implemented")+COUNTIFS('Control Library'!$A$5:$A$50,"AI-CTRL-027",'Control Library'!$R$5:$R$50,"Implemented")+COUNTIFS('Control Library'!$A$5:$A$50,"AI-CTRL-030",'Control Library'!$R$5:$R$50,"Implemented")+COUNTIFS('Control Library'!$A$5:$A$50,"AI-CTRL-031",'Control Library'!$R$5:$R$50,"Implemented")+COUNTIFS('Control Library'!$A$5:$A$50,"AI-CTRL-033",'Control Library'!$R$5:$R$50,"Implemented")</f>
        <v>0</v>
      </c>
      <c r="K591" s="43" t="str">
        <f aca="false">IF(I591=0,"No wiki control",IF(J591=I591,"Fully covered",IF(J591=0,"Not covered","Partly covered")))</f>
        <v>Not covered</v>
      </c>
      <c r="L591" s="9" t="s">
        <v>2097</v>
      </c>
    </row>
    <row r="592" customFormat="false" ht="35.05" hidden="false" customHeight="false" outlineLevel="0" collapsed="false">
      <c r="A592" s="53" t="s">
        <v>599</v>
      </c>
      <c r="B592" s="53" t="s">
        <v>598</v>
      </c>
      <c r="C592" s="5" t="s">
        <v>2142</v>
      </c>
      <c r="D592" s="6" t="s">
        <v>2143</v>
      </c>
      <c r="E592" s="6" t="s">
        <v>2144</v>
      </c>
      <c r="F592" s="6" t="s">
        <v>730</v>
      </c>
      <c r="G592" s="6" t="s">
        <v>2145</v>
      </c>
      <c r="H592" s="6"/>
      <c r="I592" s="26" t="n">
        <v>3</v>
      </c>
      <c r="J592" s="26" t="n">
        <f aca="false">COUNTIFS('Control Library'!$A$5:$A$50,"AI-CTRL-025",'Control Library'!$R$5:$R$50,"Implemented")+COUNTIFS('Control Library'!$A$5:$A$50,"AI-CTRL-035",'Control Library'!$R$5:$R$50,"Implemented")+COUNTIFS('Control Library'!$A$5:$A$50,"AI-CTRL-043",'Control Library'!$R$5:$R$50,"Implemented")</f>
        <v>0</v>
      </c>
      <c r="K592" s="43" t="str">
        <f aca="false">IF(I592=0,"No wiki control",IF(J592=I592,"Fully covered",IF(J592=0,"Not covered","Partly covered")))</f>
        <v>Not covered</v>
      </c>
      <c r="L592" s="9" t="s">
        <v>2097</v>
      </c>
    </row>
    <row r="593" customFormat="false" ht="23.85" hidden="false" customHeight="false" outlineLevel="0" collapsed="false">
      <c r="A593" s="53" t="s">
        <v>599</v>
      </c>
      <c r="B593" s="53" t="s">
        <v>598</v>
      </c>
      <c r="C593" s="5" t="s">
        <v>2146</v>
      </c>
      <c r="D593" s="6" t="s">
        <v>2147</v>
      </c>
      <c r="E593" s="6" t="s">
        <v>444</v>
      </c>
      <c r="F593" s="6" t="s">
        <v>730</v>
      </c>
      <c r="G593" s="6" t="s">
        <v>447</v>
      </c>
      <c r="H593" s="6"/>
      <c r="I593" s="26" t="n">
        <v>1</v>
      </c>
      <c r="J593" s="26" t="n">
        <f aca="false">COUNTIFS('Control Library'!$A$5:$A$50,"AI-CTRL-034",'Control Library'!$R$5:$R$50,"Implemented")</f>
        <v>0</v>
      </c>
      <c r="K593" s="43" t="str">
        <f aca="false">IF(I593=0,"No wiki control",IF(J593=I593,"Fully covered",IF(J593=0,"Not covered","Partly covered")))</f>
        <v>Not covered</v>
      </c>
      <c r="L593" s="9" t="s">
        <v>2097</v>
      </c>
    </row>
    <row r="594" customFormat="false" ht="23.85" hidden="false" customHeight="false" outlineLevel="0" collapsed="false">
      <c r="A594" s="53" t="s">
        <v>600</v>
      </c>
      <c r="B594" s="53" t="s">
        <v>598</v>
      </c>
      <c r="C594" s="5" t="s">
        <v>2148</v>
      </c>
      <c r="D594" s="6" t="s">
        <v>2149</v>
      </c>
      <c r="E594" s="6" t="s">
        <v>771</v>
      </c>
      <c r="F594" s="6" t="s">
        <v>730</v>
      </c>
      <c r="G594" s="6" t="s">
        <v>772</v>
      </c>
      <c r="H594" s="6"/>
      <c r="I594" s="26" t="n">
        <v>2</v>
      </c>
      <c r="J594" s="26" t="n">
        <f aca="false">COUNTIFS('Control Library'!$A$5:$A$50,"AI-CTRL-036",'Control Library'!$R$5:$R$50,"Implemented")+COUNTIFS('Control Library'!$A$5:$A$50,"AI-CTRL-040",'Control Library'!$R$5:$R$50,"Implemented")</f>
        <v>0</v>
      </c>
      <c r="K594" s="43" t="str">
        <f aca="false">IF(I594=0,"No wiki control",IF(J594=I594,"Fully covered",IF(J594=0,"Not covered","Partly covered")))</f>
        <v>Not covered</v>
      </c>
      <c r="L594" s="9" t="s">
        <v>2150</v>
      </c>
    </row>
    <row r="595" customFormat="false" ht="23.85" hidden="false" customHeight="false" outlineLevel="0" collapsed="false">
      <c r="A595" s="53" t="s">
        <v>600</v>
      </c>
      <c r="B595" s="53" t="s">
        <v>598</v>
      </c>
      <c r="C595" s="5" t="s">
        <v>2151</v>
      </c>
      <c r="D595" s="6" t="s">
        <v>2152</v>
      </c>
      <c r="E595" s="6" t="s">
        <v>495</v>
      </c>
      <c r="F595" s="6" t="s">
        <v>730</v>
      </c>
      <c r="G595" s="6" t="s">
        <v>499</v>
      </c>
      <c r="H595" s="6"/>
      <c r="I595" s="26" t="n">
        <v>1</v>
      </c>
      <c r="J595" s="26" t="n">
        <f aca="false">COUNTIFS('Control Library'!$A$5:$A$50,"AI-CTRL-040",'Control Library'!$R$5:$R$50,"Implemented")</f>
        <v>0</v>
      </c>
      <c r="K595" s="43" t="str">
        <f aca="false">IF(I595=0,"No wiki control",IF(J595=I595,"Fully covered",IF(J595=0,"Not covered","Partly covered")))</f>
        <v>Not covered</v>
      </c>
      <c r="L595" s="9" t="s">
        <v>2150</v>
      </c>
    </row>
    <row r="596" customFormat="false" ht="23.85" hidden="false" customHeight="false" outlineLevel="0" collapsed="false">
      <c r="A596" s="53" t="s">
        <v>600</v>
      </c>
      <c r="B596" s="53" t="s">
        <v>598</v>
      </c>
      <c r="C596" s="5" t="s">
        <v>2153</v>
      </c>
      <c r="D596" s="6" t="s">
        <v>2154</v>
      </c>
      <c r="E596" s="6" t="s">
        <v>495</v>
      </c>
      <c r="F596" s="6" t="s">
        <v>730</v>
      </c>
      <c r="G596" s="6" t="s">
        <v>499</v>
      </c>
      <c r="H596" s="6"/>
      <c r="I596" s="26" t="n">
        <v>1</v>
      </c>
      <c r="J596" s="26" t="n">
        <f aca="false">COUNTIFS('Control Library'!$A$5:$A$50,"AI-CTRL-040",'Control Library'!$R$5:$R$50,"Implemented")</f>
        <v>0</v>
      </c>
      <c r="K596" s="43" t="str">
        <f aca="false">IF(I596=0,"No wiki control",IF(J596=I596,"Fully covered",IF(J596=0,"Not covered","Partly covered")))</f>
        <v>Not covered</v>
      </c>
      <c r="L596" s="9" t="s">
        <v>2150</v>
      </c>
    </row>
    <row r="597" customFormat="false" ht="23.85" hidden="false" customHeight="false" outlineLevel="0" collapsed="false">
      <c r="A597" s="53" t="s">
        <v>600</v>
      </c>
      <c r="B597" s="53" t="s">
        <v>598</v>
      </c>
      <c r="C597" s="5" t="s">
        <v>2155</v>
      </c>
      <c r="D597" s="6" t="s">
        <v>2156</v>
      </c>
      <c r="E597" s="6" t="s">
        <v>2157</v>
      </c>
      <c r="F597" s="6" t="s">
        <v>730</v>
      </c>
      <c r="G597" s="6" t="s">
        <v>2158</v>
      </c>
      <c r="H597" s="6"/>
      <c r="I597" s="26" t="n">
        <v>5</v>
      </c>
      <c r="J597" s="26" t="n">
        <f aca="false">COUNTIFS('Control Library'!$A$5:$A$50,"AI-CTRL-002",'Control Library'!$R$5:$R$50,"Implemented")+COUNTIFS('Control Library'!$A$5:$A$50,"AI-CTRL-003",'Control Library'!$R$5:$R$50,"Implemented")+COUNTIFS('Control Library'!$A$5:$A$50,"AI-CTRL-007",'Control Library'!$R$5:$R$50,"Implemented")+COUNTIFS('Control Library'!$A$5:$A$50,"AI-CTRL-017",'Control Library'!$R$5:$R$50,"Implemented")+COUNTIFS('Control Library'!$A$5:$A$50,"AI-CTRL-028",'Control Library'!$R$5:$R$50,"Implemented")</f>
        <v>0</v>
      </c>
      <c r="K597" s="43" t="str">
        <f aca="false">IF(I597=0,"No wiki control",IF(J597=I597,"Fully covered",IF(J597=0,"Not covered","Partly covered")))</f>
        <v>Not covered</v>
      </c>
      <c r="L597" s="9" t="s">
        <v>2150</v>
      </c>
    </row>
    <row r="598" customFormat="false" ht="23.85" hidden="false" customHeight="false" outlineLevel="0" collapsed="false">
      <c r="A598" s="53" t="s">
        <v>600</v>
      </c>
      <c r="B598" s="53" t="s">
        <v>598</v>
      </c>
      <c r="C598" s="5" t="s">
        <v>2159</v>
      </c>
      <c r="D598" s="6" t="s">
        <v>2160</v>
      </c>
      <c r="E598" s="6" t="s">
        <v>2161</v>
      </c>
      <c r="F598" s="6" t="s">
        <v>730</v>
      </c>
      <c r="G598" s="6" t="s">
        <v>2162</v>
      </c>
      <c r="H598" s="6"/>
      <c r="I598" s="26" t="n">
        <v>2</v>
      </c>
      <c r="J598" s="26" t="n">
        <f aca="false">COUNTIFS('Control Library'!$A$5:$A$50,"AI-CTRL-007",'Control Library'!$R$5:$R$50,"Implemented")+COUNTIFS('Control Library'!$A$5:$A$50,"AI-CTRL-017",'Control Library'!$R$5:$R$50,"Implemented")</f>
        <v>0</v>
      </c>
      <c r="K598" s="43" t="str">
        <f aca="false">IF(I598=0,"No wiki control",IF(J598=I598,"Fully covered",IF(J598=0,"Not covered","Partly covered")))</f>
        <v>Not covered</v>
      </c>
      <c r="L598" s="9" t="s">
        <v>2150</v>
      </c>
    </row>
    <row r="599" customFormat="false" ht="23.85" hidden="false" customHeight="false" outlineLevel="0" collapsed="false">
      <c r="A599" s="53" t="s">
        <v>600</v>
      </c>
      <c r="B599" s="53" t="s">
        <v>598</v>
      </c>
      <c r="C599" s="5" t="s">
        <v>2163</v>
      </c>
      <c r="D599" s="6"/>
      <c r="E599" s="6"/>
      <c r="F599" s="6" t="s">
        <v>640</v>
      </c>
      <c r="G599" s="6"/>
      <c r="H599" s="6"/>
      <c r="I599" s="26" t="n">
        <v>0</v>
      </c>
      <c r="J599" s="26" t="n">
        <f aca="false">0</f>
        <v>0</v>
      </c>
      <c r="K599" s="43" t="str">
        <f aca="false">IF(I599=0,"No wiki control",IF(J599=I599,"Fully covered",IF(J599=0,"Not covered","Partly covered")))</f>
        <v>No wiki control</v>
      </c>
      <c r="L599" s="9" t="s">
        <v>2150</v>
      </c>
    </row>
    <row r="600" customFormat="false" ht="23.85" hidden="false" customHeight="false" outlineLevel="0" collapsed="false">
      <c r="A600" s="53" t="s">
        <v>600</v>
      </c>
      <c r="B600" s="53" t="s">
        <v>598</v>
      </c>
      <c r="C600" s="5" t="s">
        <v>2164</v>
      </c>
      <c r="D600" s="6"/>
      <c r="E600" s="6"/>
      <c r="F600" s="6" t="s">
        <v>640</v>
      </c>
      <c r="G600" s="6"/>
      <c r="H600" s="6"/>
      <c r="I600" s="26" t="n">
        <v>0</v>
      </c>
      <c r="J600" s="26" t="n">
        <f aca="false">0</f>
        <v>0</v>
      </c>
      <c r="K600" s="43" t="str">
        <f aca="false">IF(I600=0,"No wiki control",IF(J600=I600,"Fully covered",IF(J600=0,"Not covered","Partly covered")))</f>
        <v>No wiki control</v>
      </c>
      <c r="L600" s="9" t="s">
        <v>2150</v>
      </c>
    </row>
    <row r="601" customFormat="false" ht="23.85" hidden="false" customHeight="false" outlineLevel="0" collapsed="false">
      <c r="A601" s="53" t="s">
        <v>600</v>
      </c>
      <c r="B601" s="53" t="s">
        <v>598</v>
      </c>
      <c r="C601" s="5" t="s">
        <v>2165</v>
      </c>
      <c r="D601" s="6" t="s">
        <v>2166</v>
      </c>
      <c r="E601" s="6" t="s">
        <v>263</v>
      </c>
      <c r="F601" s="6" t="s">
        <v>730</v>
      </c>
      <c r="G601" s="6" t="s">
        <v>266</v>
      </c>
      <c r="H601" s="6"/>
      <c r="I601" s="26" t="n">
        <v>1</v>
      </c>
      <c r="J601" s="26" t="n">
        <f aca="false">COUNTIFS('Control Library'!$A$5:$A$50,"AI-CTRL-012",'Control Library'!$R$5:$R$50,"Implemented")</f>
        <v>0</v>
      </c>
      <c r="K601" s="43" t="str">
        <f aca="false">IF(I601=0,"No wiki control",IF(J601=I601,"Fully covered",IF(J601=0,"Not covered","Partly covered")))</f>
        <v>Not covered</v>
      </c>
      <c r="L601" s="9" t="s">
        <v>2150</v>
      </c>
    </row>
    <row r="602" customFormat="false" ht="23.85" hidden="false" customHeight="false" outlineLevel="0" collapsed="false">
      <c r="A602" s="53" t="s">
        <v>600</v>
      </c>
      <c r="B602" s="53" t="s">
        <v>598</v>
      </c>
      <c r="C602" s="5" t="s">
        <v>2167</v>
      </c>
      <c r="D602" s="6" t="s">
        <v>1690</v>
      </c>
      <c r="E602" s="6" t="s">
        <v>530</v>
      </c>
      <c r="F602" s="6" t="s">
        <v>730</v>
      </c>
      <c r="G602" s="6" t="s">
        <v>533</v>
      </c>
      <c r="H602" s="6"/>
      <c r="I602" s="26" t="n">
        <v>1</v>
      </c>
      <c r="J602" s="26" t="n">
        <f aca="false">COUNTIFS('Control Library'!$A$5:$A$50,"AI-CTRL-044",'Control Library'!$R$5:$R$50,"Implemented")</f>
        <v>0</v>
      </c>
      <c r="K602" s="43" t="str">
        <f aca="false">IF(I602=0,"No wiki control",IF(J602=I602,"Fully covered",IF(J602=0,"Not covered","Partly covered")))</f>
        <v>Not covered</v>
      </c>
      <c r="L602" s="9" t="s">
        <v>2150</v>
      </c>
    </row>
    <row r="603" customFormat="false" ht="23.85" hidden="false" customHeight="false" outlineLevel="0" collapsed="false">
      <c r="A603" s="53" t="s">
        <v>600</v>
      </c>
      <c r="B603" s="53" t="s">
        <v>598</v>
      </c>
      <c r="C603" s="5" t="s">
        <v>2168</v>
      </c>
      <c r="D603" s="6"/>
      <c r="E603" s="6"/>
      <c r="F603" s="6" t="s">
        <v>640</v>
      </c>
      <c r="G603" s="6"/>
      <c r="H603" s="6"/>
      <c r="I603" s="26" t="n">
        <v>0</v>
      </c>
      <c r="J603" s="26" t="n">
        <f aca="false">0</f>
        <v>0</v>
      </c>
      <c r="K603" s="43" t="str">
        <f aca="false">IF(I603=0,"No wiki control",IF(J603=I603,"Fully covered",IF(J603=0,"Not covered","Partly covered")))</f>
        <v>No wiki control</v>
      </c>
      <c r="L603" s="9" t="s">
        <v>2150</v>
      </c>
    </row>
    <row r="604" customFormat="false" ht="23.85" hidden="false" customHeight="false" outlineLevel="0" collapsed="false">
      <c r="A604" s="53" t="s">
        <v>600</v>
      </c>
      <c r="B604" s="53" t="s">
        <v>598</v>
      </c>
      <c r="C604" s="5" t="s">
        <v>2169</v>
      </c>
      <c r="D604" s="6"/>
      <c r="E604" s="6"/>
      <c r="F604" s="6" t="s">
        <v>640</v>
      </c>
      <c r="G604" s="6"/>
      <c r="H604" s="6"/>
      <c r="I604" s="26" t="n">
        <v>0</v>
      </c>
      <c r="J604" s="26" t="n">
        <f aca="false">0</f>
        <v>0</v>
      </c>
      <c r="K604" s="43" t="str">
        <f aca="false">IF(I604=0,"No wiki control",IF(J604=I604,"Fully covered",IF(J604=0,"Not covered","Partly covered")))</f>
        <v>No wiki control</v>
      </c>
      <c r="L604" s="9" t="s">
        <v>2150</v>
      </c>
    </row>
    <row r="605" customFormat="false" ht="23.85" hidden="false" customHeight="false" outlineLevel="0" collapsed="false">
      <c r="A605" s="53" t="s">
        <v>600</v>
      </c>
      <c r="B605" s="53" t="s">
        <v>598</v>
      </c>
      <c r="C605" s="5" t="s">
        <v>2170</v>
      </c>
      <c r="D605" s="6" t="s">
        <v>2171</v>
      </c>
      <c r="E605" s="6" t="s">
        <v>973</v>
      </c>
      <c r="F605" s="6" t="s">
        <v>730</v>
      </c>
      <c r="G605" s="6" t="s">
        <v>266</v>
      </c>
      <c r="H605" s="6"/>
      <c r="I605" s="26" t="n">
        <v>2</v>
      </c>
      <c r="J605" s="26" t="n">
        <f aca="false">COUNTIFS('Control Library'!$A$5:$A$50,"AI-CTRL-012",'Control Library'!$R$5:$R$50,"Implemented")+COUNTIFS('Control Library'!$A$5:$A$50,"AI-CTRL-044",'Control Library'!$R$5:$R$50,"Implemented")</f>
        <v>0</v>
      </c>
      <c r="K605" s="43" t="str">
        <f aca="false">IF(I605=0,"No wiki control",IF(J605=I605,"Fully covered",IF(J605=0,"Not covered","Partly covered")))</f>
        <v>Not covered</v>
      </c>
      <c r="L605" s="9" t="s">
        <v>2150</v>
      </c>
    </row>
    <row r="606" customFormat="false" ht="23.85" hidden="false" customHeight="false" outlineLevel="0" collapsed="false">
      <c r="A606" s="53" t="s">
        <v>600</v>
      </c>
      <c r="B606" s="53" t="s">
        <v>598</v>
      </c>
      <c r="C606" s="5" t="s">
        <v>2172</v>
      </c>
      <c r="D606" s="6" t="s">
        <v>2173</v>
      </c>
      <c r="E606" s="6" t="s">
        <v>522</v>
      </c>
      <c r="F606" s="6" t="s">
        <v>730</v>
      </c>
      <c r="G606" s="6" t="s">
        <v>525</v>
      </c>
      <c r="H606" s="6"/>
      <c r="I606" s="26" t="n">
        <v>1</v>
      </c>
      <c r="J606" s="26" t="n">
        <f aca="false">COUNTIFS('Control Library'!$A$5:$A$50,"AI-CTRL-043",'Control Library'!$R$5:$R$50,"Implemented")</f>
        <v>0</v>
      </c>
      <c r="K606" s="43" t="str">
        <f aca="false">IF(I606=0,"No wiki control",IF(J606=I606,"Fully covered",IF(J606=0,"Not covered","Partly covered")))</f>
        <v>Not covered</v>
      </c>
      <c r="L606" s="9" t="s">
        <v>2150</v>
      </c>
    </row>
    <row r="607" customFormat="false" ht="23.85" hidden="false" customHeight="false" outlineLevel="0" collapsed="false">
      <c r="A607" s="53" t="s">
        <v>600</v>
      </c>
      <c r="B607" s="53" t="s">
        <v>598</v>
      </c>
      <c r="C607" s="5" t="s">
        <v>2174</v>
      </c>
      <c r="D607" s="6" t="s">
        <v>2175</v>
      </c>
      <c r="E607" s="6" t="s">
        <v>826</v>
      </c>
      <c r="F607" s="6" t="s">
        <v>730</v>
      </c>
      <c r="G607" s="6" t="s">
        <v>473</v>
      </c>
      <c r="H607" s="6"/>
      <c r="I607" s="26" t="n">
        <v>2</v>
      </c>
      <c r="J607" s="26" t="n">
        <f aca="false">COUNTIFS('Control Library'!$A$5:$A$50,"AI-CTRL-011",'Control Library'!$R$5:$R$50,"Implemented")+COUNTIFS('Control Library'!$A$5:$A$50,"AI-CTRL-037",'Control Library'!$R$5:$R$50,"Implemented")</f>
        <v>0</v>
      </c>
      <c r="K607" s="43" t="str">
        <f aca="false">IF(I607=0,"No wiki control",IF(J607=I607,"Fully covered",IF(J607=0,"Not covered","Partly covered")))</f>
        <v>Not covered</v>
      </c>
      <c r="L607" s="9" t="s">
        <v>2150</v>
      </c>
    </row>
    <row r="608" customFormat="false" ht="23.85" hidden="false" customHeight="false" outlineLevel="0" collapsed="false">
      <c r="A608" s="53" t="s">
        <v>600</v>
      </c>
      <c r="B608" s="53" t="s">
        <v>598</v>
      </c>
      <c r="C608" s="5" t="s">
        <v>2176</v>
      </c>
      <c r="D608" s="6" t="s">
        <v>2177</v>
      </c>
      <c r="E608" s="6" t="s">
        <v>2178</v>
      </c>
      <c r="F608" s="6" t="s">
        <v>730</v>
      </c>
      <c r="G608" s="6" t="s">
        <v>2179</v>
      </c>
      <c r="H608" s="6"/>
      <c r="I608" s="26" t="n">
        <v>3</v>
      </c>
      <c r="J608" s="26" t="n">
        <f aca="false">COUNTIFS('Control Library'!$A$5:$A$50,"AI-CTRL-011",'Control Library'!$R$5:$R$50,"Implemented")+COUNTIFS('Control Library'!$A$5:$A$50,"AI-CTRL-037",'Control Library'!$R$5:$R$50,"Implemented")+COUNTIFS('Control Library'!$A$5:$A$50,"AI-CTRL-042",'Control Library'!$R$5:$R$50,"Implemented")</f>
        <v>0</v>
      </c>
      <c r="K608" s="43" t="str">
        <f aca="false">IF(I608=0,"No wiki control",IF(J608=I608,"Fully covered",IF(J608=0,"Not covered","Partly covered")))</f>
        <v>Not covered</v>
      </c>
      <c r="L608" s="9" t="s">
        <v>2150</v>
      </c>
    </row>
    <row r="609" customFormat="false" ht="23.85" hidden="false" customHeight="false" outlineLevel="0" collapsed="false">
      <c r="A609" s="53" t="s">
        <v>600</v>
      </c>
      <c r="B609" s="53" t="s">
        <v>598</v>
      </c>
      <c r="C609" s="5" t="s">
        <v>2180</v>
      </c>
      <c r="D609" s="6"/>
      <c r="E609" s="6"/>
      <c r="F609" s="6" t="s">
        <v>640</v>
      </c>
      <c r="G609" s="6"/>
      <c r="H609" s="6"/>
      <c r="I609" s="26" t="n">
        <v>0</v>
      </c>
      <c r="J609" s="26" t="n">
        <f aca="false">0</f>
        <v>0</v>
      </c>
      <c r="K609" s="43" t="str">
        <f aca="false">IF(I609=0,"No wiki control",IF(J609=I609,"Fully covered",IF(J609=0,"Not covered","Partly covered")))</f>
        <v>No wiki control</v>
      </c>
      <c r="L609" s="9" t="s">
        <v>2150</v>
      </c>
    </row>
    <row r="610" customFormat="false" ht="23.85" hidden="false" customHeight="false" outlineLevel="0" collapsed="false">
      <c r="A610" s="53" t="s">
        <v>600</v>
      </c>
      <c r="B610" s="53" t="s">
        <v>598</v>
      </c>
      <c r="C610" s="5" t="s">
        <v>2181</v>
      </c>
      <c r="D610" s="6" t="s">
        <v>2182</v>
      </c>
      <c r="E610" s="6" t="s">
        <v>435</v>
      </c>
      <c r="F610" s="6" t="s">
        <v>730</v>
      </c>
      <c r="G610" s="6" t="s">
        <v>439</v>
      </c>
      <c r="H610" s="6"/>
      <c r="I610" s="26" t="n">
        <v>1</v>
      </c>
      <c r="J610" s="26" t="n">
        <f aca="false">COUNTIFS('Control Library'!$A$5:$A$50,"AI-CTRL-033",'Control Library'!$R$5:$R$50,"Implemented")</f>
        <v>0</v>
      </c>
      <c r="K610" s="43" t="str">
        <f aca="false">IF(I610=0,"No wiki control",IF(J610=I610,"Fully covered",IF(J610=0,"Not covered","Partly covered")))</f>
        <v>Not covered</v>
      </c>
      <c r="L610" s="9" t="s">
        <v>2150</v>
      </c>
    </row>
    <row r="611" customFormat="false" ht="35.05" hidden="false" customHeight="false" outlineLevel="0" collapsed="false">
      <c r="A611" s="53" t="s">
        <v>600</v>
      </c>
      <c r="B611" s="53" t="s">
        <v>598</v>
      </c>
      <c r="C611" s="5" t="s">
        <v>2183</v>
      </c>
      <c r="D611" s="6" t="s">
        <v>2184</v>
      </c>
      <c r="E611" s="6" t="s">
        <v>1192</v>
      </c>
      <c r="F611" s="6" t="s">
        <v>730</v>
      </c>
      <c r="G611" s="6" t="s">
        <v>1193</v>
      </c>
      <c r="H611" s="6"/>
      <c r="I611" s="26" t="n">
        <v>2</v>
      </c>
      <c r="J611" s="26" t="n">
        <f aca="false">COUNTIFS('Control Library'!$A$5:$A$50,"AI-CTRL-034",'Control Library'!$R$5:$R$50,"Implemented")+COUNTIFS('Control Library'!$A$5:$A$50,"AI-CTRL-038",'Control Library'!$R$5:$R$50,"Implemented")</f>
        <v>0</v>
      </c>
      <c r="K611" s="43" t="str">
        <f aca="false">IF(I611=0,"No wiki control",IF(J611=I611,"Fully covered",IF(J611=0,"Not covered","Partly covered")))</f>
        <v>Not covered</v>
      </c>
      <c r="L611" s="9" t="s">
        <v>2150</v>
      </c>
    </row>
    <row r="612" customFormat="false" ht="23.85" hidden="false" customHeight="false" outlineLevel="0" collapsed="false">
      <c r="A612" s="53" t="s">
        <v>600</v>
      </c>
      <c r="B612" s="53" t="s">
        <v>598</v>
      </c>
      <c r="C612" s="5" t="s">
        <v>2185</v>
      </c>
      <c r="D612" s="6" t="s">
        <v>2186</v>
      </c>
      <c r="E612" s="6" t="s">
        <v>478</v>
      </c>
      <c r="F612" s="6" t="s">
        <v>730</v>
      </c>
      <c r="G612" s="6" t="s">
        <v>481</v>
      </c>
      <c r="H612" s="6"/>
      <c r="I612" s="26" t="n">
        <v>1</v>
      </c>
      <c r="J612" s="26" t="n">
        <f aca="false">COUNTIFS('Control Library'!$A$5:$A$50,"AI-CTRL-038",'Control Library'!$R$5:$R$50,"Implemented")</f>
        <v>0</v>
      </c>
      <c r="K612" s="43" t="str">
        <f aca="false">IF(I612=0,"No wiki control",IF(J612=I612,"Fully covered",IF(J612=0,"Not covered","Partly covered")))</f>
        <v>Not covered</v>
      </c>
      <c r="L612" s="9" t="s">
        <v>2150</v>
      </c>
    </row>
    <row r="613" customFormat="false" ht="23.85" hidden="false" customHeight="false" outlineLevel="0" collapsed="false">
      <c r="A613" s="53" t="s">
        <v>600</v>
      </c>
      <c r="B613" s="53" t="s">
        <v>598</v>
      </c>
      <c r="C613" s="5" t="s">
        <v>2187</v>
      </c>
      <c r="D613" s="6"/>
      <c r="E613" s="6"/>
      <c r="F613" s="6" t="s">
        <v>640</v>
      </c>
      <c r="G613" s="6"/>
      <c r="H613" s="6"/>
      <c r="I613" s="26" t="n">
        <v>0</v>
      </c>
      <c r="J613" s="26" t="n">
        <f aca="false">0</f>
        <v>0</v>
      </c>
      <c r="K613" s="43" t="str">
        <f aca="false">IF(I613=0,"No wiki control",IF(J613=I613,"Fully covered",IF(J613=0,"Not covered","Partly covered")))</f>
        <v>No wiki control</v>
      </c>
      <c r="L613" s="9" t="s">
        <v>2150</v>
      </c>
    </row>
    <row r="614" customFormat="false" ht="23.85" hidden="false" customHeight="false" outlineLevel="0" collapsed="false">
      <c r="A614" s="53" t="s">
        <v>600</v>
      </c>
      <c r="B614" s="53" t="s">
        <v>598</v>
      </c>
      <c r="C614" s="5" t="s">
        <v>2188</v>
      </c>
      <c r="D614" s="6"/>
      <c r="E614" s="6"/>
      <c r="F614" s="6" t="s">
        <v>640</v>
      </c>
      <c r="G614" s="6"/>
      <c r="H614" s="6"/>
      <c r="I614" s="26" t="n">
        <v>0</v>
      </c>
      <c r="J614" s="26" t="n">
        <f aca="false">0</f>
        <v>0</v>
      </c>
      <c r="K614" s="43" t="str">
        <f aca="false">IF(I614=0,"No wiki control",IF(J614=I614,"Fully covered",IF(J614=0,"Not covered","Partly covered")))</f>
        <v>No wiki control</v>
      </c>
      <c r="L614" s="9" t="s">
        <v>2150</v>
      </c>
    </row>
    <row r="615" customFormat="false" ht="23.85" hidden="false" customHeight="false" outlineLevel="0" collapsed="false">
      <c r="A615" s="53" t="s">
        <v>600</v>
      </c>
      <c r="B615" s="53" t="s">
        <v>598</v>
      </c>
      <c r="C615" s="5" t="s">
        <v>2189</v>
      </c>
      <c r="D615" s="6" t="s">
        <v>2190</v>
      </c>
      <c r="E615" s="6" t="s">
        <v>1011</v>
      </c>
      <c r="F615" s="6" t="s">
        <v>730</v>
      </c>
      <c r="G615" s="6" t="s">
        <v>1012</v>
      </c>
      <c r="H615" s="6"/>
      <c r="I615" s="26" t="n">
        <v>2</v>
      </c>
      <c r="J615" s="26" t="n">
        <f aca="false">COUNTIFS('Control Library'!$A$5:$A$50,"AI-CTRL-010",'Control Library'!$R$5:$R$50,"Implemented")+COUNTIFS('Control Library'!$A$5:$A$50,"AI-CTRL-012",'Control Library'!$R$5:$R$50,"Implemented")</f>
        <v>0</v>
      </c>
      <c r="K615" s="43" t="str">
        <f aca="false">IF(I615=0,"No wiki control",IF(J615=I615,"Fully covered",IF(J615=0,"Not covered","Partly covered")))</f>
        <v>Not covered</v>
      </c>
      <c r="L615" s="9" t="s">
        <v>2150</v>
      </c>
    </row>
    <row r="616" customFormat="false" ht="46.25" hidden="false" customHeight="false" outlineLevel="0" collapsed="false">
      <c r="A616" s="53" t="s">
        <v>600</v>
      </c>
      <c r="B616" s="53" t="s">
        <v>598</v>
      </c>
      <c r="C616" s="5" t="s">
        <v>2191</v>
      </c>
      <c r="D616" s="6" t="s">
        <v>2192</v>
      </c>
      <c r="E616" s="6" t="s">
        <v>2193</v>
      </c>
      <c r="F616" s="6" t="s">
        <v>730</v>
      </c>
      <c r="G616" s="6" t="s">
        <v>2194</v>
      </c>
      <c r="H616" s="6"/>
      <c r="I616" s="26" t="n">
        <v>10</v>
      </c>
      <c r="J616" s="26" t="n">
        <f aca="false">COUNTIFS('Control Library'!$A$5:$A$50,"AI-CTRL-006",'Control Library'!$R$5:$R$50,"Implemented")+COUNTIFS('Control Library'!$A$5:$A$50,"AI-CTRL-015",'Control Library'!$R$5:$R$50,"Implemented")+COUNTIFS('Control Library'!$A$5:$A$50,"AI-CTRL-016",'Control Library'!$R$5:$R$50,"Implemented")+COUNTIFS('Control Library'!$A$5:$A$50,"AI-CTRL-017",'Control Library'!$R$5:$R$50,"Implemented")+COUNTIFS('Control Library'!$A$5:$A$50,"AI-CTRL-018",'Control Library'!$R$5:$R$50,"Implemented")+COUNTIFS('Control Library'!$A$5:$A$50,"AI-CTRL-022",'Control Library'!$R$5:$R$50,"Implemented")+COUNTIFS('Control Library'!$A$5:$A$50,"AI-CTRL-026",'Control Library'!$R$5:$R$50,"Implemented")+COUNTIFS('Control Library'!$A$5:$A$50,"AI-CTRL-028",'Control Library'!$R$5:$R$50,"Implemented")+COUNTIFS('Control Library'!$A$5:$A$50,"AI-CTRL-030",'Control Library'!$R$5:$R$50,"Implemented")+COUNTIFS('Control Library'!$A$5:$A$50,"AI-CTRL-032",'Control Library'!$R$5:$R$50,"Implemented")</f>
        <v>0</v>
      </c>
      <c r="K616" s="43" t="str">
        <f aca="false">IF(I616=0,"No wiki control",IF(J616=I616,"Fully covered",IF(J616=0,"Not covered","Partly covered")))</f>
        <v>Not covered</v>
      </c>
      <c r="L616" s="9" t="s">
        <v>2150</v>
      </c>
    </row>
    <row r="617" customFormat="false" ht="23.85" hidden="false" customHeight="false" outlineLevel="0" collapsed="false">
      <c r="A617" s="53" t="s">
        <v>600</v>
      </c>
      <c r="B617" s="53" t="s">
        <v>598</v>
      </c>
      <c r="C617" s="5" t="s">
        <v>2195</v>
      </c>
      <c r="D617" s="6" t="s">
        <v>2196</v>
      </c>
      <c r="E617" s="6" t="s">
        <v>2197</v>
      </c>
      <c r="F617" s="6" t="s">
        <v>730</v>
      </c>
      <c r="G617" s="6" t="s">
        <v>2198</v>
      </c>
      <c r="H617" s="6"/>
      <c r="I617" s="26" t="n">
        <v>2</v>
      </c>
      <c r="J617" s="26" t="n">
        <f aca="false">COUNTIFS('Control Library'!$A$5:$A$50,"AI-CTRL-015",'Control Library'!$R$5:$R$50,"Implemented")+COUNTIFS('Control Library'!$A$5:$A$50,"AI-CTRL-025",'Control Library'!$R$5:$R$50,"Implemented")</f>
        <v>0</v>
      </c>
      <c r="K617" s="43" t="str">
        <f aca="false">IF(I617=0,"No wiki control",IF(J617=I617,"Fully covered",IF(J617=0,"Not covered","Partly covered")))</f>
        <v>Not covered</v>
      </c>
      <c r="L617" s="9" t="s">
        <v>2150</v>
      </c>
    </row>
    <row r="618" customFormat="false" ht="23.85" hidden="false" customHeight="false" outlineLevel="0" collapsed="false">
      <c r="A618" s="53" t="s">
        <v>600</v>
      </c>
      <c r="B618" s="53" t="s">
        <v>598</v>
      </c>
      <c r="C618" s="5" t="s">
        <v>2199</v>
      </c>
      <c r="D618" s="6" t="s">
        <v>2200</v>
      </c>
      <c r="E618" s="6" t="s">
        <v>2201</v>
      </c>
      <c r="F618" s="6" t="s">
        <v>730</v>
      </c>
      <c r="G618" s="6" t="s">
        <v>789</v>
      </c>
      <c r="H618" s="6"/>
      <c r="I618" s="26" t="n">
        <v>3</v>
      </c>
      <c r="J618" s="26" t="n">
        <f aca="false">COUNTIFS('Control Library'!$A$5:$A$50,"AI-CTRL-016",'Control Library'!$R$5:$R$50,"Implemented")+COUNTIFS('Control Library'!$A$5:$A$50,"AI-CTRL-018",'Control Library'!$R$5:$R$50,"Implemented")+COUNTIFS('Control Library'!$A$5:$A$50,"AI-CTRL-022",'Control Library'!$R$5:$R$50,"Implemented")</f>
        <v>0</v>
      </c>
      <c r="K618" s="43" t="str">
        <f aca="false">IF(I618=0,"No wiki control",IF(J618=I618,"Fully covered",IF(J618=0,"Not covered","Partly covered")))</f>
        <v>Not covered</v>
      </c>
      <c r="L618" s="9" t="s">
        <v>2150</v>
      </c>
    </row>
    <row r="619" customFormat="false" ht="23.85" hidden="false" customHeight="false" outlineLevel="0" collapsed="false">
      <c r="A619" s="53" t="s">
        <v>600</v>
      </c>
      <c r="B619" s="53" t="s">
        <v>598</v>
      </c>
      <c r="C619" s="5" t="s">
        <v>2202</v>
      </c>
      <c r="D619" s="6"/>
      <c r="E619" s="6"/>
      <c r="F619" s="6" t="s">
        <v>640</v>
      </c>
      <c r="G619" s="6"/>
      <c r="H619" s="6"/>
      <c r="I619" s="26" t="n">
        <v>0</v>
      </c>
      <c r="J619" s="26" t="n">
        <f aca="false">0</f>
        <v>0</v>
      </c>
      <c r="K619" s="43" t="str">
        <f aca="false">IF(I619=0,"No wiki control",IF(J619=I619,"Fully covered",IF(J619=0,"Not covered","Partly covered")))</f>
        <v>No wiki control</v>
      </c>
      <c r="L619" s="9" t="s">
        <v>2150</v>
      </c>
    </row>
    <row r="620" customFormat="false" ht="23.85" hidden="false" customHeight="false" outlineLevel="0" collapsed="false">
      <c r="A620" s="53" t="s">
        <v>600</v>
      </c>
      <c r="B620" s="53" t="s">
        <v>598</v>
      </c>
      <c r="C620" s="5" t="s">
        <v>2203</v>
      </c>
      <c r="D620" s="6"/>
      <c r="E620" s="6"/>
      <c r="F620" s="6" t="s">
        <v>640</v>
      </c>
      <c r="G620" s="6"/>
      <c r="H620" s="6"/>
      <c r="I620" s="26" t="n">
        <v>0</v>
      </c>
      <c r="J620" s="26" t="n">
        <f aca="false">0</f>
        <v>0</v>
      </c>
      <c r="K620" s="43" t="str">
        <f aca="false">IF(I620=0,"No wiki control",IF(J620=I620,"Fully covered",IF(J620=0,"Not covered","Partly covered")))</f>
        <v>No wiki control</v>
      </c>
      <c r="L620" s="9" t="s">
        <v>2150</v>
      </c>
    </row>
    <row r="621" customFormat="false" ht="35.05" hidden="false" customHeight="false" outlineLevel="0" collapsed="false">
      <c r="A621" s="53" t="s">
        <v>600</v>
      </c>
      <c r="B621" s="53" t="s">
        <v>598</v>
      </c>
      <c r="C621" s="5" t="s">
        <v>2204</v>
      </c>
      <c r="D621" s="6" t="s">
        <v>2205</v>
      </c>
      <c r="E621" s="6" t="s">
        <v>2206</v>
      </c>
      <c r="F621" s="6" t="s">
        <v>730</v>
      </c>
      <c r="G621" s="6" t="s">
        <v>2207</v>
      </c>
      <c r="H621" s="6"/>
      <c r="I621" s="26" t="n">
        <v>3</v>
      </c>
      <c r="J621" s="26" t="n">
        <f aca="false">COUNTIFS('Control Library'!$A$5:$A$50,"AI-CTRL-005",'Control Library'!$R$5:$R$50,"Implemented")+COUNTIFS('Control Library'!$A$5:$A$50,"AI-CTRL-027",'Control Library'!$R$5:$R$50,"Implemented")+COUNTIFS('Control Library'!$A$5:$A$50,"AI-CTRL-032",'Control Library'!$R$5:$R$50,"Implemented")</f>
        <v>0</v>
      </c>
      <c r="K621" s="43" t="str">
        <f aca="false">IF(I621=0,"No wiki control",IF(J621=I621,"Fully covered",IF(J621=0,"Not covered","Partly covered")))</f>
        <v>Not covered</v>
      </c>
      <c r="L621" s="9" t="s">
        <v>2150</v>
      </c>
    </row>
    <row r="622" customFormat="false" ht="35.05" hidden="false" customHeight="false" outlineLevel="0" collapsed="false">
      <c r="A622" s="53" t="s">
        <v>600</v>
      </c>
      <c r="B622" s="53" t="s">
        <v>598</v>
      </c>
      <c r="C622" s="5" t="s">
        <v>2208</v>
      </c>
      <c r="D622" s="6" t="s">
        <v>2209</v>
      </c>
      <c r="E622" s="6" t="s">
        <v>1850</v>
      </c>
      <c r="F622" s="6" t="s">
        <v>730</v>
      </c>
      <c r="G622" s="6" t="s">
        <v>1851</v>
      </c>
      <c r="H622" s="6"/>
      <c r="I622" s="26" t="n">
        <v>7</v>
      </c>
      <c r="J622" s="26" t="n">
        <f aca="false">COUNTIFS('Control Library'!$A$5:$A$50,"AI-CTRL-002",'Control Library'!$R$5:$R$50,"Implemented")+COUNTIFS('Control Library'!$A$5:$A$50,"AI-CTRL-003",'Control Library'!$R$5:$R$50,"Implemented")+COUNTIFS('Control Library'!$A$5:$A$50,"AI-CTRL-004",'Control Library'!$R$5:$R$50,"Implemented")+COUNTIFS('Control Library'!$A$5:$A$50,"AI-CTRL-010",'Control Library'!$R$5:$R$50,"Implemented")+COUNTIFS('Control Library'!$A$5:$A$50,"AI-CTRL-017",'Control Library'!$R$5:$R$50,"Implemented")+COUNTIFS('Control Library'!$A$5:$A$50,"AI-CTRL-021",'Control Library'!$R$5:$R$50,"Implemented")+COUNTIFS('Control Library'!$A$5:$A$50,"AI-CTRL-028",'Control Library'!$R$5:$R$50,"Implemented")</f>
        <v>0</v>
      </c>
      <c r="K622" s="43" t="str">
        <f aca="false">IF(I622=0,"No wiki control",IF(J622=I622,"Fully covered",IF(J622=0,"Not covered","Partly covered")))</f>
        <v>Not covered</v>
      </c>
      <c r="L622" s="9" t="s">
        <v>2150</v>
      </c>
    </row>
    <row r="623" customFormat="false" ht="46.25" hidden="false" customHeight="false" outlineLevel="0" collapsed="false">
      <c r="A623" s="53" t="s">
        <v>600</v>
      </c>
      <c r="B623" s="53" t="s">
        <v>598</v>
      </c>
      <c r="C623" s="5" t="s">
        <v>2210</v>
      </c>
      <c r="D623" s="6" t="s">
        <v>2211</v>
      </c>
      <c r="E623" s="6" t="s">
        <v>2212</v>
      </c>
      <c r="F623" s="6" t="s">
        <v>730</v>
      </c>
      <c r="G623" s="6" t="s">
        <v>2213</v>
      </c>
      <c r="H623" s="6"/>
      <c r="I623" s="26" t="n">
        <v>4</v>
      </c>
      <c r="J623" s="26" t="n">
        <f aca="false">COUNTIFS('Control Library'!$A$5:$A$50,"AI-CTRL-001",'Control Library'!$R$5:$R$50,"Implemented")+COUNTIFS('Control Library'!$A$5:$A$50,"AI-CTRL-021",'Control Library'!$R$5:$R$50,"Implemented")+COUNTIFS('Control Library'!$A$5:$A$50,"AI-CTRL-024",'Control Library'!$R$5:$R$50,"Implemented")+COUNTIFS('Control Library'!$A$5:$A$50,"AI-CTRL-027",'Control Library'!$R$5:$R$50,"Implemented")</f>
        <v>0</v>
      </c>
      <c r="K623" s="43" t="str">
        <f aca="false">IF(I623=0,"No wiki control",IF(J623=I623,"Fully covered",IF(J623=0,"Not covered","Partly covered")))</f>
        <v>Not covered</v>
      </c>
      <c r="L623" s="9" t="s">
        <v>2150</v>
      </c>
    </row>
    <row r="624" customFormat="false" ht="35.05" hidden="false" customHeight="false" outlineLevel="0" collapsed="false">
      <c r="A624" s="53" t="s">
        <v>600</v>
      </c>
      <c r="B624" s="53" t="s">
        <v>598</v>
      </c>
      <c r="C624" s="5" t="s">
        <v>2214</v>
      </c>
      <c r="D624" s="6" t="s">
        <v>2215</v>
      </c>
      <c r="E624" s="6" t="s">
        <v>1837</v>
      </c>
      <c r="F624" s="6" t="s">
        <v>730</v>
      </c>
      <c r="G624" s="6" t="s">
        <v>1838</v>
      </c>
      <c r="H624" s="6"/>
      <c r="I624" s="26" t="n">
        <v>3</v>
      </c>
      <c r="J624" s="26" t="n">
        <f aca="false">COUNTIFS('Control Library'!$A$5:$A$50,"AI-CTRL-031",'Control Library'!$R$5:$R$50,"Implemented")+COUNTIFS('Control Library'!$A$5:$A$50,"AI-CTRL-032",'Control Library'!$R$5:$R$50,"Implemented")+COUNTIFS('Control Library'!$A$5:$A$50,"AI-CTRL-034",'Control Library'!$R$5:$R$50,"Implemented")</f>
        <v>0</v>
      </c>
      <c r="K624" s="43" t="str">
        <f aca="false">IF(I624=0,"No wiki control",IF(J624=I624,"Fully covered",IF(J624=0,"Not covered","Partly covered")))</f>
        <v>Not covered</v>
      </c>
      <c r="L624" s="9" t="s">
        <v>2150</v>
      </c>
    </row>
    <row r="625" customFormat="false" ht="35.05" hidden="false" customHeight="false" outlineLevel="0" collapsed="false">
      <c r="A625" s="53" t="s">
        <v>600</v>
      </c>
      <c r="B625" s="53" t="s">
        <v>598</v>
      </c>
      <c r="C625" s="5" t="s">
        <v>2216</v>
      </c>
      <c r="D625" s="6" t="s">
        <v>2217</v>
      </c>
      <c r="E625" s="6" t="s">
        <v>2218</v>
      </c>
      <c r="F625" s="6" t="s">
        <v>730</v>
      </c>
      <c r="G625" s="6" t="s">
        <v>2219</v>
      </c>
      <c r="H625" s="6"/>
      <c r="I625" s="26" t="n">
        <v>5</v>
      </c>
      <c r="J625" s="26" t="n">
        <f aca="false">COUNTIFS('Control Library'!$A$5:$A$50,"AI-CTRL-001",'Control Library'!$R$5:$R$50,"Implemented")+COUNTIFS('Control Library'!$A$5:$A$50,"AI-CTRL-005",'Control Library'!$R$5:$R$50,"Implemented")+COUNTIFS('Control Library'!$A$5:$A$50,"AI-CTRL-006",'Control Library'!$R$5:$R$50,"Implemented")+COUNTIFS('Control Library'!$A$5:$A$50,"AI-CTRL-008",'Control Library'!$R$5:$R$50,"Implemented")+COUNTIFS('Control Library'!$A$5:$A$50,"AI-CTRL-009",'Control Library'!$R$5:$R$50,"Implemented")</f>
        <v>0</v>
      </c>
      <c r="K625" s="43" t="str">
        <f aca="false">IF(I625=0,"No wiki control",IF(J625=I625,"Fully covered",IF(J625=0,"Not covered","Partly covered")))</f>
        <v>Not covered</v>
      </c>
      <c r="L625" s="9" t="s">
        <v>2150</v>
      </c>
    </row>
    <row r="626" customFormat="false" ht="23.85" hidden="false" customHeight="false" outlineLevel="0" collapsed="false">
      <c r="A626" s="53" t="s">
        <v>600</v>
      </c>
      <c r="B626" s="53" t="s">
        <v>598</v>
      </c>
      <c r="C626" s="5" t="s">
        <v>2220</v>
      </c>
      <c r="D626" s="6" t="s">
        <v>2221</v>
      </c>
      <c r="E626" s="6" t="s">
        <v>1766</v>
      </c>
      <c r="F626" s="6" t="s">
        <v>730</v>
      </c>
      <c r="G626" s="6" t="s">
        <v>456</v>
      </c>
      <c r="H626" s="6"/>
      <c r="I626" s="26" t="n">
        <v>2</v>
      </c>
      <c r="J626" s="26" t="n">
        <f aca="false">COUNTIFS('Control Library'!$A$5:$A$50,"AI-CTRL-009",'Control Library'!$R$5:$R$50,"Implemented")+COUNTIFS('Control Library'!$A$5:$A$50,"AI-CTRL-035",'Control Library'!$R$5:$R$50,"Implemented")</f>
        <v>0</v>
      </c>
      <c r="K626" s="43" t="str">
        <f aca="false">IF(I626=0,"No wiki control",IF(J626=I626,"Fully covered",IF(J626=0,"Not covered","Partly covered")))</f>
        <v>Not covered</v>
      </c>
      <c r="L626" s="9" t="s">
        <v>2150</v>
      </c>
    </row>
    <row r="627" customFormat="false" ht="23.85" hidden="false" customHeight="false" outlineLevel="0" collapsed="false">
      <c r="A627" s="53" t="s">
        <v>600</v>
      </c>
      <c r="B627" s="53" t="s">
        <v>598</v>
      </c>
      <c r="C627" s="5" t="s">
        <v>2222</v>
      </c>
      <c r="D627" s="6" t="s">
        <v>2223</v>
      </c>
      <c r="E627" s="6" t="s">
        <v>1769</v>
      </c>
      <c r="F627" s="6" t="s">
        <v>730</v>
      </c>
      <c r="G627" s="6" t="s">
        <v>1770</v>
      </c>
      <c r="H627" s="6"/>
      <c r="I627" s="26" t="n">
        <v>2</v>
      </c>
      <c r="J627" s="26" t="n">
        <f aca="false">COUNTIFS('Control Library'!$A$5:$A$50,"AI-CTRL-025",'Control Library'!$R$5:$R$50,"Implemented")+COUNTIFS('Control Library'!$A$5:$A$50,"AI-CTRL-035",'Control Library'!$R$5:$R$50,"Implemented")</f>
        <v>0</v>
      </c>
      <c r="K627" s="43" t="str">
        <f aca="false">IF(I627=0,"No wiki control",IF(J627=I627,"Fully covered",IF(J627=0,"Not covered","Partly covered")))</f>
        <v>Not covered</v>
      </c>
      <c r="L627" s="9" t="s">
        <v>2150</v>
      </c>
    </row>
    <row r="628" customFormat="false" ht="23.85" hidden="false" customHeight="false" outlineLevel="0" collapsed="false">
      <c r="A628" s="53" t="s">
        <v>600</v>
      </c>
      <c r="B628" s="53" t="s">
        <v>598</v>
      </c>
      <c r="C628" s="5" t="s">
        <v>2224</v>
      </c>
      <c r="D628" s="6" t="s">
        <v>2225</v>
      </c>
      <c r="E628" s="6" t="s">
        <v>453</v>
      </c>
      <c r="F628" s="6" t="s">
        <v>730</v>
      </c>
      <c r="G628" s="6" t="s">
        <v>456</v>
      </c>
      <c r="H628" s="6"/>
      <c r="I628" s="26" t="n">
        <v>1</v>
      </c>
      <c r="J628" s="26" t="n">
        <f aca="false">COUNTIFS('Control Library'!$A$5:$A$50,"AI-CTRL-035",'Control Library'!$R$5:$R$50,"Implemented")</f>
        <v>0</v>
      </c>
      <c r="K628" s="43" t="str">
        <f aca="false">IF(I628=0,"No wiki control",IF(J628=I628,"Fully covered",IF(J628=0,"Not covered","Partly covered")))</f>
        <v>Not covered</v>
      </c>
      <c r="L628" s="9" t="s">
        <v>2150</v>
      </c>
    </row>
    <row r="629" customFormat="false" ht="46.25" hidden="false" customHeight="false" outlineLevel="0" collapsed="false">
      <c r="A629" s="53" t="s">
        <v>600</v>
      </c>
      <c r="B629" s="53" t="s">
        <v>598</v>
      </c>
      <c r="C629" s="5" t="s">
        <v>2226</v>
      </c>
      <c r="D629" s="6" t="s">
        <v>1905</v>
      </c>
      <c r="E629" s="6" t="s">
        <v>2227</v>
      </c>
      <c r="F629" s="6" t="s">
        <v>730</v>
      </c>
      <c r="G629" s="6" t="s">
        <v>2228</v>
      </c>
      <c r="H629" s="6"/>
      <c r="I629" s="26" t="n">
        <v>5</v>
      </c>
      <c r="J629" s="26" t="n">
        <f aca="false">COUNTIFS('Control Library'!$A$5:$A$50,"AI-CTRL-004",'Control Library'!$R$5:$R$50,"Implemented")+COUNTIFS('Control Library'!$A$5:$A$50,"AI-CTRL-019",'Control Library'!$R$5:$R$50,"Implemented")+COUNTIFS('Control Library'!$A$5:$A$50,"AI-CTRL-024",'Control Library'!$R$5:$R$50,"Implemented")+COUNTIFS('Control Library'!$A$5:$A$50,"AI-CTRL-030",'Control Library'!$R$5:$R$50,"Implemented")+COUNTIFS('Control Library'!$A$5:$A$50,"AI-CTRL-033",'Control Library'!$R$5:$R$50,"Implemented")</f>
        <v>0</v>
      </c>
      <c r="K629" s="43" t="str">
        <f aca="false">IF(I629=0,"No wiki control",IF(J629=I629,"Fully covered",IF(J629=0,"Not covered","Partly covered")))</f>
        <v>Not covered</v>
      </c>
      <c r="L629" s="9" t="s">
        <v>2150</v>
      </c>
    </row>
    <row r="630" customFormat="false" ht="23.85" hidden="false" customHeight="false" outlineLevel="0" collapsed="false">
      <c r="A630" s="53" t="s">
        <v>600</v>
      </c>
      <c r="B630" s="53" t="s">
        <v>598</v>
      </c>
      <c r="C630" s="5" t="s">
        <v>2229</v>
      </c>
      <c r="D630" s="6" t="s">
        <v>2230</v>
      </c>
      <c r="E630" s="6" t="s">
        <v>2231</v>
      </c>
      <c r="F630" s="6" t="s">
        <v>730</v>
      </c>
      <c r="G630" s="6" t="s">
        <v>2232</v>
      </c>
      <c r="H630" s="6"/>
      <c r="I630" s="26" t="n">
        <v>2</v>
      </c>
      <c r="J630" s="26" t="n">
        <f aca="false">COUNTIFS('Control Library'!$A$5:$A$50,"AI-CTRL-037",'Control Library'!$R$5:$R$50,"Implemented")+COUNTIFS('Control Library'!$A$5:$A$50,"AI-CTRL-040",'Control Library'!$R$5:$R$50,"Implemented")</f>
        <v>0</v>
      </c>
      <c r="K630" s="43" t="str">
        <f aca="false">IF(I630=0,"No wiki control",IF(J630=I630,"Fully covered",IF(J630=0,"Not covered","Partly covered")))</f>
        <v>Not covered</v>
      </c>
      <c r="L630" s="9" t="s">
        <v>2150</v>
      </c>
    </row>
    <row r="631" customFormat="false" ht="23.85" hidden="false" customHeight="false" outlineLevel="0" collapsed="false">
      <c r="A631" s="53" t="s">
        <v>600</v>
      </c>
      <c r="B631" s="53" t="s">
        <v>598</v>
      </c>
      <c r="C631" s="5" t="s">
        <v>2233</v>
      </c>
      <c r="D631" s="6" t="s">
        <v>2234</v>
      </c>
      <c r="E631" s="6" t="s">
        <v>2137</v>
      </c>
      <c r="F631" s="6" t="s">
        <v>730</v>
      </c>
      <c r="G631" s="6" t="s">
        <v>1060</v>
      </c>
      <c r="H631" s="6"/>
      <c r="I631" s="26" t="n">
        <v>4</v>
      </c>
      <c r="J631" s="26" t="n">
        <f aca="false">COUNTIFS('Control Library'!$A$5:$A$50,"AI-CTRL-007",'Control Library'!$R$5:$R$50,"Implemented")+COUNTIFS('Control Library'!$A$5:$A$50,"AI-CTRL-014",'Control Library'!$R$5:$R$50,"Implemented")+COUNTIFS('Control Library'!$A$5:$A$50,"AI-CTRL-024",'Control Library'!$R$5:$R$50,"Implemented")+COUNTIFS('Control Library'!$A$5:$A$50,"AI-CTRL-031",'Control Library'!$R$5:$R$50,"Implemented")</f>
        <v>0</v>
      </c>
      <c r="K631" s="43" t="str">
        <f aca="false">IF(I631=0,"No wiki control",IF(J631=I631,"Fully covered",IF(J631=0,"Not covered","Partly covered")))</f>
        <v>Not covered</v>
      </c>
      <c r="L631" s="9" t="s">
        <v>2150</v>
      </c>
    </row>
    <row r="632" customFormat="false" ht="23.85" hidden="false" customHeight="false" outlineLevel="0" collapsed="false">
      <c r="A632" s="53" t="s">
        <v>600</v>
      </c>
      <c r="B632" s="53" t="s">
        <v>598</v>
      </c>
      <c r="C632" s="5" t="s">
        <v>2235</v>
      </c>
      <c r="D632" s="6" t="s">
        <v>2236</v>
      </c>
      <c r="E632" s="6" t="s">
        <v>272</v>
      </c>
      <c r="F632" s="6" t="s">
        <v>730</v>
      </c>
      <c r="G632" s="6" t="s">
        <v>276</v>
      </c>
      <c r="H632" s="6"/>
      <c r="I632" s="26" t="n">
        <v>1</v>
      </c>
      <c r="J632" s="26" t="n">
        <f aca="false">COUNTIFS('Control Library'!$A$5:$A$50,"AI-CTRL-013",'Control Library'!$R$5:$R$50,"Implemented")</f>
        <v>0</v>
      </c>
      <c r="K632" s="43" t="str">
        <f aca="false">IF(I632=0,"No wiki control",IF(J632=I632,"Fully covered",IF(J632=0,"Not covered","Partly covered")))</f>
        <v>Not covered</v>
      </c>
      <c r="L632" s="9" t="s">
        <v>2150</v>
      </c>
    </row>
    <row r="633" customFormat="false" ht="23.85" hidden="false" customHeight="false" outlineLevel="0" collapsed="false">
      <c r="A633" s="53" t="s">
        <v>600</v>
      </c>
      <c r="B633" s="53" t="s">
        <v>598</v>
      </c>
      <c r="C633" s="5" t="s">
        <v>2237</v>
      </c>
      <c r="D633" s="6"/>
      <c r="E633" s="6"/>
      <c r="F633" s="6" t="s">
        <v>640</v>
      </c>
      <c r="G633" s="6"/>
      <c r="H633" s="6"/>
      <c r="I633" s="26" t="n">
        <v>0</v>
      </c>
      <c r="J633" s="26" t="n">
        <f aca="false">0</f>
        <v>0</v>
      </c>
      <c r="K633" s="43" t="str">
        <f aca="false">IF(I633=0,"No wiki control",IF(J633=I633,"Fully covered",IF(J633=0,"Not covered","Partly covered")))</f>
        <v>No wiki control</v>
      </c>
      <c r="L633" s="9" t="s">
        <v>2150</v>
      </c>
    </row>
    <row r="634" customFormat="false" ht="23.85" hidden="false" customHeight="false" outlineLevel="0" collapsed="false">
      <c r="A634" s="53" t="s">
        <v>600</v>
      </c>
      <c r="B634" s="53" t="s">
        <v>598</v>
      </c>
      <c r="C634" s="5" t="s">
        <v>2238</v>
      </c>
      <c r="D634" s="6" t="s">
        <v>2239</v>
      </c>
      <c r="E634" s="6" t="s">
        <v>272</v>
      </c>
      <c r="F634" s="6" t="s">
        <v>730</v>
      </c>
      <c r="G634" s="6" t="s">
        <v>276</v>
      </c>
      <c r="H634" s="6"/>
      <c r="I634" s="26" t="n">
        <v>1</v>
      </c>
      <c r="J634" s="26" t="n">
        <f aca="false">COUNTIFS('Control Library'!$A$5:$A$50,"AI-CTRL-013",'Control Library'!$R$5:$R$50,"Implemented")</f>
        <v>0</v>
      </c>
      <c r="K634" s="43" t="str">
        <f aca="false">IF(I634=0,"No wiki control",IF(J634=I634,"Fully covered",IF(J634=0,"Not covered","Partly covered")))</f>
        <v>Not covered</v>
      </c>
      <c r="L634" s="9" t="s">
        <v>2150</v>
      </c>
    </row>
    <row r="635" customFormat="false" ht="23.85" hidden="false" customHeight="false" outlineLevel="0" collapsed="false">
      <c r="A635" s="53" t="s">
        <v>600</v>
      </c>
      <c r="B635" s="53" t="s">
        <v>598</v>
      </c>
      <c r="C635" s="5" t="s">
        <v>2240</v>
      </c>
      <c r="D635" s="6"/>
      <c r="E635" s="6"/>
      <c r="F635" s="6" t="s">
        <v>640</v>
      </c>
      <c r="G635" s="6"/>
      <c r="H635" s="6"/>
      <c r="I635" s="26" t="n">
        <v>0</v>
      </c>
      <c r="J635" s="26" t="n">
        <f aca="false">0</f>
        <v>0</v>
      </c>
      <c r="K635" s="43" t="str">
        <f aca="false">IF(I635=0,"No wiki control",IF(J635=I635,"Fully covered",IF(J635=0,"Not covered","Partly covered")))</f>
        <v>No wiki control</v>
      </c>
      <c r="L635" s="9" t="s">
        <v>2150</v>
      </c>
    </row>
    <row r="636" customFormat="false" ht="23.85" hidden="false" customHeight="false" outlineLevel="0" collapsed="false">
      <c r="A636" s="53" t="s">
        <v>600</v>
      </c>
      <c r="B636" s="53" t="s">
        <v>598</v>
      </c>
      <c r="C636" s="5" t="s">
        <v>2241</v>
      </c>
      <c r="D636" s="6" t="s">
        <v>2242</v>
      </c>
      <c r="E636" s="6" t="s">
        <v>272</v>
      </c>
      <c r="F636" s="6" t="s">
        <v>730</v>
      </c>
      <c r="G636" s="6" t="s">
        <v>276</v>
      </c>
      <c r="H636" s="6"/>
      <c r="I636" s="26" t="n">
        <v>1</v>
      </c>
      <c r="J636" s="26" t="n">
        <f aca="false">COUNTIFS('Control Library'!$A$5:$A$50,"AI-CTRL-013",'Control Library'!$R$5:$R$50,"Implemented")</f>
        <v>0</v>
      </c>
      <c r="K636" s="43" t="str">
        <f aca="false">IF(I636=0,"No wiki control",IF(J636=I636,"Fully covered",IF(J636=0,"Not covered","Partly covered")))</f>
        <v>Not covered</v>
      </c>
      <c r="L636" s="9" t="s">
        <v>2150</v>
      </c>
    </row>
    <row r="637" customFormat="false" ht="23.85" hidden="false" customHeight="false" outlineLevel="0" collapsed="false">
      <c r="A637" s="53" t="s">
        <v>600</v>
      </c>
      <c r="B637" s="53" t="s">
        <v>598</v>
      </c>
      <c r="C637" s="5" t="s">
        <v>2243</v>
      </c>
      <c r="D637" s="6" t="s">
        <v>2244</v>
      </c>
      <c r="E637" s="6" t="s">
        <v>2245</v>
      </c>
      <c r="F637" s="6" t="s">
        <v>730</v>
      </c>
      <c r="G637" s="6" t="s">
        <v>276</v>
      </c>
      <c r="H637" s="6"/>
      <c r="I637" s="26" t="n">
        <v>2</v>
      </c>
      <c r="J637" s="26" t="n">
        <f aca="false">COUNTIFS('Control Library'!$A$5:$A$50,"AI-CTRL-007",'Control Library'!$R$5:$R$50,"Implemented")+COUNTIFS('Control Library'!$A$5:$A$50,"AI-CTRL-013",'Control Library'!$R$5:$R$50,"Implemented")</f>
        <v>0</v>
      </c>
      <c r="K637" s="43" t="str">
        <f aca="false">IF(I637=0,"No wiki control",IF(J637=I637,"Fully covered",IF(J637=0,"Not covered","Partly covered")))</f>
        <v>Not covered</v>
      </c>
      <c r="L637" s="9" t="s">
        <v>2150</v>
      </c>
    </row>
    <row r="638" customFormat="false" ht="23.85" hidden="false" customHeight="false" outlineLevel="0" collapsed="false">
      <c r="A638" s="53" t="s">
        <v>600</v>
      </c>
      <c r="B638" s="53" t="s">
        <v>598</v>
      </c>
      <c r="C638" s="5" t="s">
        <v>2246</v>
      </c>
      <c r="D638" s="6"/>
      <c r="E638" s="6"/>
      <c r="F638" s="6" t="s">
        <v>640</v>
      </c>
      <c r="G638" s="6"/>
      <c r="H638" s="6"/>
      <c r="I638" s="26" t="n">
        <v>0</v>
      </c>
      <c r="J638" s="26" t="n">
        <f aca="false">0</f>
        <v>0</v>
      </c>
      <c r="K638" s="43" t="str">
        <f aca="false">IF(I638=0,"No wiki control",IF(J638=I638,"Fully covered",IF(J638=0,"Not covered","Partly covered")))</f>
        <v>No wiki control</v>
      </c>
      <c r="L638" s="9" t="s">
        <v>2150</v>
      </c>
    </row>
    <row r="639" customFormat="false" ht="23.85" hidden="false" customHeight="false" outlineLevel="0" collapsed="false">
      <c r="A639" s="53" t="s">
        <v>600</v>
      </c>
      <c r="B639" s="53" t="s">
        <v>598</v>
      </c>
      <c r="C639" s="5" t="s">
        <v>2247</v>
      </c>
      <c r="D639" s="6" t="s">
        <v>2248</v>
      </c>
      <c r="E639" s="6" t="s">
        <v>272</v>
      </c>
      <c r="F639" s="6" t="s">
        <v>730</v>
      </c>
      <c r="G639" s="6" t="s">
        <v>276</v>
      </c>
      <c r="H639" s="6"/>
      <c r="I639" s="26" t="n">
        <v>1</v>
      </c>
      <c r="J639" s="26" t="n">
        <f aca="false">COUNTIFS('Control Library'!$A$5:$A$50,"AI-CTRL-013",'Control Library'!$R$5:$R$50,"Implemented")</f>
        <v>0</v>
      </c>
      <c r="K639" s="43" t="str">
        <f aca="false">IF(I639=0,"No wiki control",IF(J639=I639,"Fully covered",IF(J639=0,"Not covered","Partly covered")))</f>
        <v>Not covered</v>
      </c>
      <c r="L639" s="9" t="s">
        <v>2150</v>
      </c>
    </row>
    <row r="640" customFormat="false" ht="23.85" hidden="false" customHeight="false" outlineLevel="0" collapsed="false">
      <c r="A640" s="53" t="s">
        <v>600</v>
      </c>
      <c r="B640" s="53" t="s">
        <v>598</v>
      </c>
      <c r="C640" s="5" t="s">
        <v>2249</v>
      </c>
      <c r="D640" s="6"/>
      <c r="E640" s="6"/>
      <c r="F640" s="6" t="s">
        <v>640</v>
      </c>
      <c r="G640" s="6"/>
      <c r="H640" s="6"/>
      <c r="I640" s="26" t="n">
        <v>0</v>
      </c>
      <c r="J640" s="26" t="n">
        <f aca="false">0</f>
        <v>0</v>
      </c>
      <c r="K640" s="43" t="str">
        <f aca="false">IF(I640=0,"No wiki control",IF(J640=I640,"Fully covered",IF(J640=0,"Not covered","Partly covered")))</f>
        <v>No wiki control</v>
      </c>
      <c r="L640" s="9" t="s">
        <v>2150</v>
      </c>
    </row>
    <row r="641" customFormat="false" ht="23.85" hidden="false" customHeight="false" outlineLevel="0" collapsed="false">
      <c r="A641" s="53" t="s">
        <v>600</v>
      </c>
      <c r="B641" s="53" t="s">
        <v>598</v>
      </c>
      <c r="C641" s="5" t="s">
        <v>2250</v>
      </c>
      <c r="D641" s="6"/>
      <c r="E641" s="6"/>
      <c r="F641" s="6" t="s">
        <v>640</v>
      </c>
      <c r="G641" s="6"/>
      <c r="H641" s="6"/>
      <c r="I641" s="26" t="n">
        <v>0</v>
      </c>
      <c r="J641" s="26" t="n">
        <f aca="false">0</f>
        <v>0</v>
      </c>
      <c r="K641" s="43" t="str">
        <f aca="false">IF(I641=0,"No wiki control",IF(J641=I641,"Fully covered",IF(J641=0,"Not covered","Partly covered")))</f>
        <v>No wiki control</v>
      </c>
      <c r="L641" s="9" t="s">
        <v>2150</v>
      </c>
    </row>
    <row r="642" customFormat="false" ht="23.85" hidden="false" customHeight="false" outlineLevel="0" collapsed="false">
      <c r="A642" s="53" t="s">
        <v>600</v>
      </c>
      <c r="B642" s="53" t="s">
        <v>598</v>
      </c>
      <c r="C642" s="5" t="s">
        <v>2251</v>
      </c>
      <c r="D642" s="6"/>
      <c r="E642" s="6"/>
      <c r="F642" s="6" t="s">
        <v>640</v>
      </c>
      <c r="G642" s="6"/>
      <c r="H642" s="6"/>
      <c r="I642" s="26" t="n">
        <v>0</v>
      </c>
      <c r="J642" s="26" t="n">
        <f aca="false">0</f>
        <v>0</v>
      </c>
      <c r="K642" s="43" t="str">
        <f aca="false">IF(I642=0,"No wiki control",IF(J642=I642,"Fully covered",IF(J642=0,"Not covered","Partly covered")))</f>
        <v>No wiki control</v>
      </c>
      <c r="L642" s="9" t="s">
        <v>2150</v>
      </c>
    </row>
    <row r="643" customFormat="false" ht="23.85" hidden="false" customHeight="false" outlineLevel="0" collapsed="false">
      <c r="A643" s="53" t="s">
        <v>600</v>
      </c>
      <c r="B643" s="53" t="s">
        <v>598</v>
      </c>
      <c r="C643" s="5" t="s">
        <v>2252</v>
      </c>
      <c r="D643" s="6"/>
      <c r="E643" s="6"/>
      <c r="F643" s="6" t="s">
        <v>640</v>
      </c>
      <c r="G643" s="6"/>
      <c r="H643" s="6"/>
      <c r="I643" s="26" t="n">
        <v>0</v>
      </c>
      <c r="J643" s="26" t="n">
        <f aca="false">0</f>
        <v>0</v>
      </c>
      <c r="K643" s="43" t="str">
        <f aca="false">IF(I643=0,"No wiki control",IF(J643=I643,"Fully covered",IF(J643=0,"Not covered","Partly covered")))</f>
        <v>No wiki control</v>
      </c>
      <c r="L643" s="9" t="s">
        <v>2150</v>
      </c>
    </row>
    <row r="644" customFormat="false" ht="23.85" hidden="false" customHeight="false" outlineLevel="0" collapsed="false">
      <c r="A644" s="53" t="s">
        <v>600</v>
      </c>
      <c r="B644" s="53" t="s">
        <v>598</v>
      </c>
      <c r="C644" s="5" t="s">
        <v>2253</v>
      </c>
      <c r="D644" s="6"/>
      <c r="E644" s="6"/>
      <c r="F644" s="6" t="s">
        <v>640</v>
      </c>
      <c r="G644" s="6"/>
      <c r="H644" s="6"/>
      <c r="I644" s="26" t="n">
        <v>0</v>
      </c>
      <c r="J644" s="26" t="n">
        <f aca="false">0</f>
        <v>0</v>
      </c>
      <c r="K644" s="43" t="str">
        <f aca="false">IF(I644=0,"No wiki control",IF(J644=I644,"Fully covered",IF(J644=0,"Not covered","Partly covered")))</f>
        <v>No wiki control</v>
      </c>
      <c r="L644" s="9" t="s">
        <v>2150</v>
      </c>
    </row>
    <row r="645" customFormat="false" ht="23.85" hidden="false" customHeight="false" outlineLevel="0" collapsed="false">
      <c r="A645" s="53" t="s">
        <v>600</v>
      </c>
      <c r="B645" s="53" t="s">
        <v>598</v>
      </c>
      <c r="C645" s="5" t="s">
        <v>2254</v>
      </c>
      <c r="D645" s="6"/>
      <c r="E645" s="6"/>
      <c r="F645" s="6" t="s">
        <v>640</v>
      </c>
      <c r="G645" s="6"/>
      <c r="H645" s="6"/>
      <c r="I645" s="26" t="n">
        <v>0</v>
      </c>
      <c r="J645" s="26" t="n">
        <f aca="false">0</f>
        <v>0</v>
      </c>
      <c r="K645" s="43" t="str">
        <f aca="false">IF(I645=0,"No wiki control",IF(J645=I645,"Fully covered",IF(J645=0,"Not covered","Partly covered")))</f>
        <v>No wiki control</v>
      </c>
      <c r="L645" s="9" t="s">
        <v>2150</v>
      </c>
    </row>
    <row r="646" customFormat="false" ht="23.85" hidden="false" customHeight="false" outlineLevel="0" collapsed="false">
      <c r="A646" s="53" t="s">
        <v>600</v>
      </c>
      <c r="B646" s="53" t="s">
        <v>598</v>
      </c>
      <c r="C646" s="5" t="s">
        <v>2255</v>
      </c>
      <c r="D646" s="6"/>
      <c r="E646" s="6"/>
      <c r="F646" s="6" t="s">
        <v>640</v>
      </c>
      <c r="G646" s="6"/>
      <c r="H646" s="6"/>
      <c r="I646" s="26" t="n">
        <v>0</v>
      </c>
      <c r="J646" s="26" t="n">
        <f aca="false">0</f>
        <v>0</v>
      </c>
      <c r="K646" s="43" t="str">
        <f aca="false">IF(I646=0,"No wiki control",IF(J646=I646,"Fully covered",IF(J646=0,"Not covered","Partly covered")))</f>
        <v>No wiki control</v>
      </c>
      <c r="L646" s="9" t="s">
        <v>2150</v>
      </c>
    </row>
    <row r="647" customFormat="false" ht="23.85" hidden="false" customHeight="false" outlineLevel="0" collapsed="false">
      <c r="A647" s="53" t="s">
        <v>600</v>
      </c>
      <c r="B647" s="53" t="s">
        <v>598</v>
      </c>
      <c r="C647" s="5" t="s">
        <v>2256</v>
      </c>
      <c r="D647" s="6"/>
      <c r="E647" s="6"/>
      <c r="F647" s="6" t="s">
        <v>640</v>
      </c>
      <c r="G647" s="6"/>
      <c r="H647" s="6"/>
      <c r="I647" s="26" t="n">
        <v>0</v>
      </c>
      <c r="J647" s="26" t="n">
        <f aca="false">0</f>
        <v>0</v>
      </c>
      <c r="K647" s="43" t="str">
        <f aca="false">IF(I647=0,"No wiki control",IF(J647=I647,"Fully covered",IF(J647=0,"Not covered","Partly covered")))</f>
        <v>No wiki control</v>
      </c>
      <c r="L647" s="9" t="s">
        <v>2150</v>
      </c>
    </row>
    <row r="648" customFormat="false" ht="23.85" hidden="false" customHeight="false" outlineLevel="0" collapsed="false">
      <c r="A648" s="53" t="s">
        <v>600</v>
      </c>
      <c r="B648" s="53" t="s">
        <v>598</v>
      </c>
      <c r="C648" s="5" t="s">
        <v>2257</v>
      </c>
      <c r="D648" s="6"/>
      <c r="E648" s="6"/>
      <c r="F648" s="6" t="s">
        <v>640</v>
      </c>
      <c r="G648" s="6"/>
      <c r="H648" s="6"/>
      <c r="I648" s="26" t="n">
        <v>0</v>
      </c>
      <c r="J648" s="26" t="n">
        <f aca="false">0</f>
        <v>0</v>
      </c>
      <c r="K648" s="43" t="str">
        <f aca="false">IF(I648=0,"No wiki control",IF(J648=I648,"Fully covered",IF(J648=0,"Not covered","Partly covered")))</f>
        <v>No wiki control</v>
      </c>
      <c r="L648" s="9" t="s">
        <v>2150</v>
      </c>
    </row>
    <row r="649" customFormat="false" ht="23.85" hidden="false" customHeight="false" outlineLevel="0" collapsed="false">
      <c r="A649" s="53" t="s">
        <v>600</v>
      </c>
      <c r="B649" s="53" t="s">
        <v>598</v>
      </c>
      <c r="C649" s="5" t="s">
        <v>2258</v>
      </c>
      <c r="D649" s="6"/>
      <c r="E649" s="6"/>
      <c r="F649" s="6" t="s">
        <v>640</v>
      </c>
      <c r="G649" s="6"/>
      <c r="H649" s="6"/>
      <c r="I649" s="26" t="n">
        <v>0</v>
      </c>
      <c r="J649" s="26" t="n">
        <f aca="false">0</f>
        <v>0</v>
      </c>
      <c r="K649" s="43" t="str">
        <f aca="false">IF(I649=0,"No wiki control",IF(J649=I649,"Fully covered",IF(J649=0,"Not covered","Partly covered")))</f>
        <v>No wiki control</v>
      </c>
      <c r="L649" s="9" t="s">
        <v>2150</v>
      </c>
    </row>
    <row r="650" customFormat="false" ht="23.85" hidden="false" customHeight="false" outlineLevel="0" collapsed="false">
      <c r="A650" s="53" t="s">
        <v>600</v>
      </c>
      <c r="B650" s="53" t="s">
        <v>598</v>
      </c>
      <c r="C650" s="5" t="s">
        <v>2259</v>
      </c>
      <c r="D650" s="6"/>
      <c r="E650" s="6"/>
      <c r="F650" s="6" t="s">
        <v>640</v>
      </c>
      <c r="G650" s="6"/>
      <c r="H650" s="6"/>
      <c r="I650" s="26" t="n">
        <v>0</v>
      </c>
      <c r="J650" s="26" t="n">
        <f aca="false">0</f>
        <v>0</v>
      </c>
      <c r="K650" s="43" t="str">
        <f aca="false">IF(I650=0,"No wiki control",IF(J650=I650,"Fully covered",IF(J650=0,"Not covered","Partly covered")))</f>
        <v>No wiki control</v>
      </c>
      <c r="L650" s="9" t="s">
        <v>2150</v>
      </c>
    </row>
    <row r="651" customFormat="false" ht="23.85" hidden="false" customHeight="false" outlineLevel="0" collapsed="false">
      <c r="A651" s="53" t="s">
        <v>600</v>
      </c>
      <c r="B651" s="53" t="s">
        <v>598</v>
      </c>
      <c r="C651" s="5" t="s">
        <v>2260</v>
      </c>
      <c r="D651" s="6" t="s">
        <v>2261</v>
      </c>
      <c r="E651" s="6" t="s">
        <v>876</v>
      </c>
      <c r="F651" s="6" t="s">
        <v>730</v>
      </c>
      <c r="G651" s="6" t="s">
        <v>327</v>
      </c>
      <c r="H651" s="6"/>
      <c r="I651" s="26" t="n">
        <v>2</v>
      </c>
      <c r="J651" s="26" t="n">
        <f aca="false">COUNTIFS('Control Library'!$A$5:$A$50,"AI-CTRL-019",'Control Library'!$R$5:$R$50,"Implemented")+COUNTIFS('Control Library'!$A$5:$A$50,"AI-CTRL-029",'Control Library'!$R$5:$R$50,"Implemented")</f>
        <v>0</v>
      </c>
      <c r="K651" s="43" t="str">
        <f aca="false">IF(I651=0,"No wiki control",IF(J651=I651,"Fully covered",IF(J651=0,"Not covered","Partly covered")))</f>
        <v>Not covered</v>
      </c>
      <c r="L651" s="9" t="s">
        <v>2150</v>
      </c>
    </row>
    <row r="652" customFormat="false" ht="23.85" hidden="false" customHeight="false" outlineLevel="0" collapsed="false">
      <c r="A652" s="53" t="s">
        <v>600</v>
      </c>
      <c r="B652" s="53" t="s">
        <v>598</v>
      </c>
      <c r="C652" s="5" t="s">
        <v>2262</v>
      </c>
      <c r="D652" s="6" t="s">
        <v>2263</v>
      </c>
      <c r="E652" s="6" t="s">
        <v>486</v>
      </c>
      <c r="F652" s="6" t="s">
        <v>730</v>
      </c>
      <c r="G652" s="6" t="s">
        <v>490</v>
      </c>
      <c r="H652" s="6"/>
      <c r="I652" s="26" t="n">
        <v>1</v>
      </c>
      <c r="J652" s="26" t="n">
        <f aca="false">COUNTIFS('Control Library'!$A$5:$A$50,"AI-CTRL-039",'Control Library'!$R$5:$R$50,"Implemented")</f>
        <v>0</v>
      </c>
      <c r="K652" s="43" t="str">
        <f aca="false">IF(I652=0,"No wiki control",IF(J652=I652,"Fully covered",IF(J652=0,"Not covered","Partly covered")))</f>
        <v>Not covered</v>
      </c>
      <c r="L652" s="9" t="s">
        <v>2150</v>
      </c>
    </row>
    <row r="653" customFormat="false" ht="23.85" hidden="false" customHeight="false" outlineLevel="0" collapsed="false">
      <c r="A653" s="53" t="s">
        <v>600</v>
      </c>
      <c r="B653" s="53" t="s">
        <v>598</v>
      </c>
      <c r="C653" s="5" t="s">
        <v>2264</v>
      </c>
      <c r="D653" s="6" t="s">
        <v>2265</v>
      </c>
      <c r="E653" s="6" t="s">
        <v>2266</v>
      </c>
      <c r="F653" s="6" t="s">
        <v>730</v>
      </c>
      <c r="G653" s="6" t="s">
        <v>2267</v>
      </c>
      <c r="H653" s="6"/>
      <c r="I653" s="26" t="n">
        <v>2</v>
      </c>
      <c r="J653" s="26" t="n">
        <f aca="false">COUNTIFS('Control Library'!$A$5:$A$50,"AI-CTRL-020",'Control Library'!$R$5:$R$50,"Implemented")+COUNTIFS('Control Library'!$A$5:$A$50,"AI-CTRL-039",'Control Library'!$R$5:$R$50,"Implemented")</f>
        <v>0</v>
      </c>
      <c r="K653" s="43" t="str">
        <f aca="false">IF(I653=0,"No wiki control",IF(J653=I653,"Fully covered",IF(J653=0,"Not covered","Partly covered")))</f>
        <v>Not covered</v>
      </c>
      <c r="L653" s="9" t="s">
        <v>2150</v>
      </c>
    </row>
    <row r="654" customFormat="false" ht="23.85" hidden="false" customHeight="false" outlineLevel="0" collapsed="false">
      <c r="A654" s="53" t="s">
        <v>600</v>
      </c>
      <c r="B654" s="53" t="s">
        <v>598</v>
      </c>
      <c r="C654" s="5" t="s">
        <v>2268</v>
      </c>
      <c r="D654" s="6" t="s">
        <v>2269</v>
      </c>
      <c r="E654" s="6" t="s">
        <v>380</v>
      </c>
      <c r="F654" s="6" t="s">
        <v>730</v>
      </c>
      <c r="G654" s="6" t="s">
        <v>383</v>
      </c>
      <c r="H654" s="6"/>
      <c r="I654" s="26" t="n">
        <v>1</v>
      </c>
      <c r="J654" s="26" t="n">
        <f aca="false">COUNTIFS('Control Library'!$A$5:$A$50,"AI-CTRL-026",'Control Library'!$R$5:$R$50,"Implemented")</f>
        <v>0</v>
      </c>
      <c r="K654" s="43" t="str">
        <f aca="false">IF(I654=0,"No wiki control",IF(J654=I654,"Fully covered",IF(J654=0,"Not covered","Partly covered")))</f>
        <v>Not covered</v>
      </c>
      <c r="L654" s="9" t="s">
        <v>2150</v>
      </c>
    </row>
    <row r="655" customFormat="false" ht="46.25" hidden="false" customHeight="false" outlineLevel="0" collapsed="false">
      <c r="A655" s="53" t="s">
        <v>601</v>
      </c>
      <c r="B655" s="53" t="s">
        <v>598</v>
      </c>
      <c r="C655" s="5" t="s">
        <v>2270</v>
      </c>
      <c r="D655" s="6" t="s">
        <v>2271</v>
      </c>
      <c r="E655" s="6" t="s">
        <v>2272</v>
      </c>
      <c r="F655" s="6" t="s">
        <v>730</v>
      </c>
      <c r="G655" s="6" t="s">
        <v>2273</v>
      </c>
      <c r="H655" s="6" t="s">
        <v>642</v>
      </c>
      <c r="I655" s="26" t="n">
        <v>2</v>
      </c>
      <c r="J655" s="26" t="n">
        <f aca="false">COUNTIFS('Control Library'!$A$5:$A$50,"AI-CTRL-012",'Control Library'!$R$5:$R$50,"Implemented")+COUNTIFS('Control Library'!$A$5:$A$50,"AI-CTRL-033",'Control Library'!$R$5:$R$50,"Implemented")</f>
        <v>0</v>
      </c>
      <c r="K655" s="43" t="str">
        <f aca="false">IF(I655=0,"No wiki control",IF(J655=I655,"Fully covered",IF(J655=0,"Not covered","Partly covered")))</f>
        <v>Not covered</v>
      </c>
      <c r="L655" s="9" t="s">
        <v>2274</v>
      </c>
    </row>
    <row r="656" customFormat="false" ht="23.85" hidden="false" customHeight="false" outlineLevel="0" collapsed="false">
      <c r="A656" s="53" t="s">
        <v>601</v>
      </c>
      <c r="B656" s="53" t="s">
        <v>598</v>
      </c>
      <c r="C656" s="5" t="s">
        <v>2275</v>
      </c>
      <c r="D656" s="6" t="s">
        <v>2276</v>
      </c>
      <c r="E656" s="6" t="s">
        <v>973</v>
      </c>
      <c r="F656" s="6" t="s">
        <v>730</v>
      </c>
      <c r="G656" s="6" t="s">
        <v>266</v>
      </c>
      <c r="H656" s="6" t="s">
        <v>642</v>
      </c>
      <c r="I656" s="26" t="n">
        <v>2</v>
      </c>
      <c r="J656" s="26" t="n">
        <f aca="false">COUNTIFS('Control Library'!$A$5:$A$50,"AI-CTRL-012",'Control Library'!$R$5:$R$50,"Implemented")+COUNTIFS('Control Library'!$A$5:$A$50,"AI-CTRL-044",'Control Library'!$R$5:$R$50,"Implemented")</f>
        <v>0</v>
      </c>
      <c r="K656" s="43" t="str">
        <f aca="false">IF(I656=0,"No wiki control",IF(J656=I656,"Fully covered",IF(J656=0,"Not covered","Partly covered")))</f>
        <v>Not covered</v>
      </c>
      <c r="L656" s="9" t="s">
        <v>2274</v>
      </c>
    </row>
    <row r="657" customFormat="false" ht="23.85" hidden="false" customHeight="false" outlineLevel="0" collapsed="false">
      <c r="A657" s="53" t="s">
        <v>601</v>
      </c>
      <c r="B657" s="53" t="s">
        <v>598</v>
      </c>
      <c r="C657" s="5" t="s">
        <v>2277</v>
      </c>
      <c r="D657" s="6" t="s">
        <v>2278</v>
      </c>
      <c r="E657" s="6" t="s">
        <v>1828</v>
      </c>
      <c r="F657" s="6" t="s">
        <v>730</v>
      </c>
      <c r="G657" s="6" t="s">
        <v>1829</v>
      </c>
      <c r="H657" s="6" t="s">
        <v>642</v>
      </c>
      <c r="I657" s="26" t="n">
        <v>2</v>
      </c>
      <c r="J657" s="26" t="n">
        <f aca="false">COUNTIFS('Control Library'!$A$5:$A$50,"AI-CTRL-004",'Control Library'!$R$5:$R$50,"Implemented")+COUNTIFS('Control Library'!$A$5:$A$50,"AI-CTRL-030",'Control Library'!$R$5:$R$50,"Implemented")</f>
        <v>0</v>
      </c>
      <c r="K657" s="43" t="str">
        <f aca="false">IF(I657=0,"No wiki control",IF(J657=I657,"Fully covered",IF(J657=0,"Not covered","Partly covered")))</f>
        <v>Not covered</v>
      </c>
      <c r="L657" s="9" t="s">
        <v>2274</v>
      </c>
    </row>
    <row r="658" customFormat="false" ht="35.05" hidden="false" customHeight="false" outlineLevel="0" collapsed="false">
      <c r="A658" s="53" t="s">
        <v>601</v>
      </c>
      <c r="B658" s="53" t="s">
        <v>598</v>
      </c>
      <c r="C658" s="5" t="s">
        <v>2279</v>
      </c>
      <c r="D658" s="6" t="s">
        <v>2280</v>
      </c>
      <c r="E658" s="6" t="s">
        <v>759</v>
      </c>
      <c r="F658" s="6" t="s">
        <v>730</v>
      </c>
      <c r="G658" s="6" t="s">
        <v>760</v>
      </c>
      <c r="H658" s="6" t="s">
        <v>642</v>
      </c>
      <c r="I658" s="26" t="n">
        <v>2</v>
      </c>
      <c r="J658" s="26" t="n">
        <f aca="false">COUNTIFS('Control Library'!$A$5:$A$50,"AI-CTRL-033",'Control Library'!$R$5:$R$50,"Implemented")+COUNTIFS('Control Library'!$A$5:$A$50,"AI-CTRL-034",'Control Library'!$R$5:$R$50,"Implemented")</f>
        <v>0</v>
      </c>
      <c r="K658" s="43" t="str">
        <f aca="false">IF(I658=0,"No wiki control",IF(J658=I658,"Fully covered",IF(J658=0,"Not covered","Partly covered")))</f>
        <v>Not covered</v>
      </c>
      <c r="L658" s="9" t="s">
        <v>2274</v>
      </c>
    </row>
    <row r="659" customFormat="false" ht="35.05" hidden="false" customHeight="false" outlineLevel="0" collapsed="false">
      <c r="A659" s="53" t="s">
        <v>601</v>
      </c>
      <c r="B659" s="53" t="s">
        <v>598</v>
      </c>
      <c r="C659" s="5" t="s">
        <v>2281</v>
      </c>
      <c r="D659" s="6" t="s">
        <v>2282</v>
      </c>
      <c r="E659" s="6" t="s">
        <v>2283</v>
      </c>
      <c r="F659" s="6" t="s">
        <v>730</v>
      </c>
      <c r="G659" s="6" t="s">
        <v>2284</v>
      </c>
      <c r="H659" s="6" t="s">
        <v>642</v>
      </c>
      <c r="I659" s="26" t="n">
        <v>4</v>
      </c>
      <c r="J659" s="26" t="n">
        <f aca="false">COUNTIFS('Control Library'!$A$5:$A$50,"AI-CTRL-009",'Control Library'!$R$5:$R$50,"Implemented")+COUNTIFS('Control Library'!$A$5:$A$50,"AI-CTRL-016",'Control Library'!$R$5:$R$50,"Implemented")+COUNTIFS('Control Library'!$A$5:$A$50,"AI-CTRL-027",'Control Library'!$R$5:$R$50,"Implemented")+COUNTIFS('Control Library'!$A$5:$A$50,"AI-CTRL-030",'Control Library'!$R$5:$R$50,"Implemented")</f>
        <v>0</v>
      </c>
      <c r="K659" s="43" t="str">
        <f aca="false">IF(I659=0,"No wiki control",IF(J659=I659,"Fully covered",IF(J659=0,"Not covered","Partly covered")))</f>
        <v>Not covered</v>
      </c>
      <c r="L659" s="9" t="s">
        <v>2274</v>
      </c>
    </row>
    <row r="660" customFormat="false" ht="23.85" hidden="false" customHeight="false" outlineLevel="0" collapsed="false">
      <c r="A660" s="53" t="s">
        <v>601</v>
      </c>
      <c r="B660" s="53" t="s">
        <v>598</v>
      </c>
      <c r="C660" s="5" t="s">
        <v>2285</v>
      </c>
      <c r="D660" s="6" t="s">
        <v>2286</v>
      </c>
      <c r="E660" s="6" t="s">
        <v>1302</v>
      </c>
      <c r="F660" s="6" t="s">
        <v>730</v>
      </c>
      <c r="G660" s="6" t="s">
        <v>399</v>
      </c>
      <c r="H660" s="6" t="s">
        <v>642</v>
      </c>
      <c r="I660" s="26" t="n">
        <v>2</v>
      </c>
      <c r="J660" s="26" t="n">
        <f aca="false">COUNTIFS('Control Library'!$A$5:$A$50,"AI-CTRL-028",'Control Library'!$R$5:$R$50,"Implemented")+COUNTIFS('Control Library'!$A$5:$A$50,"AI-CTRL-030",'Control Library'!$R$5:$R$50,"Implemented")</f>
        <v>0</v>
      </c>
      <c r="K660" s="43" t="str">
        <f aca="false">IF(I660=0,"No wiki control",IF(J660=I660,"Fully covered",IF(J660=0,"Not covered","Partly covered")))</f>
        <v>Not covered</v>
      </c>
      <c r="L660" s="9" t="s">
        <v>2274</v>
      </c>
    </row>
    <row r="661" customFormat="false" ht="23.85" hidden="false" customHeight="false" outlineLevel="0" collapsed="false">
      <c r="A661" s="53" t="s">
        <v>601</v>
      </c>
      <c r="B661" s="53" t="s">
        <v>598</v>
      </c>
      <c r="C661" s="5" t="s">
        <v>2287</v>
      </c>
      <c r="D661" s="6" t="s">
        <v>2288</v>
      </c>
      <c r="E661" s="6" t="s">
        <v>1641</v>
      </c>
      <c r="F661" s="6" t="s">
        <v>730</v>
      </c>
      <c r="G661" s="6" t="s">
        <v>424</v>
      </c>
      <c r="H661" s="6" t="s">
        <v>642</v>
      </c>
      <c r="I661" s="26" t="n">
        <v>2</v>
      </c>
      <c r="J661" s="26" t="n">
        <f aca="false">COUNTIFS('Control Library'!$A$5:$A$50,"AI-CTRL-030",'Control Library'!$R$5:$R$50,"Implemented")+COUNTIFS('Control Library'!$A$5:$A$50,"AI-CTRL-031",'Control Library'!$R$5:$R$50,"Implemented")</f>
        <v>0</v>
      </c>
      <c r="K661" s="43" t="str">
        <f aca="false">IF(I661=0,"No wiki control",IF(J661=I661,"Fully covered",IF(J661=0,"Not covered","Partly covered")))</f>
        <v>Not covered</v>
      </c>
      <c r="L661" s="9" t="s">
        <v>2274</v>
      </c>
    </row>
    <row r="662" customFormat="false" ht="23.85" hidden="false" customHeight="false" outlineLevel="0" collapsed="false">
      <c r="A662" s="53" t="s">
        <v>601</v>
      </c>
      <c r="B662" s="53" t="s">
        <v>598</v>
      </c>
      <c r="C662" s="5" t="s">
        <v>2289</v>
      </c>
      <c r="D662" s="6" t="s">
        <v>2290</v>
      </c>
      <c r="E662" s="6" t="s">
        <v>2291</v>
      </c>
      <c r="F662" s="6" t="s">
        <v>730</v>
      </c>
      <c r="G662" s="6" t="s">
        <v>2292</v>
      </c>
      <c r="H662" s="6" t="s">
        <v>657</v>
      </c>
      <c r="I662" s="26" t="n">
        <v>2</v>
      </c>
      <c r="J662" s="26" t="n">
        <f aca="false">COUNTIFS('Control Library'!$A$5:$A$50,"AI-CTRL-008",'Control Library'!$R$5:$R$50,"Implemented")+COUNTIFS('Control Library'!$A$5:$A$50,"AI-CTRL-031",'Control Library'!$R$5:$R$50,"Implemented")</f>
        <v>0</v>
      </c>
      <c r="K662" s="43" t="str">
        <f aca="false">IF(I662=0,"No wiki control",IF(J662=I662,"Fully covered",IF(J662=0,"Not covered","Partly covered")))</f>
        <v>Not covered</v>
      </c>
      <c r="L662" s="9" t="s">
        <v>2274</v>
      </c>
    </row>
    <row r="663" customFormat="false" ht="35.05" hidden="false" customHeight="false" outlineLevel="0" collapsed="false">
      <c r="A663" s="53" t="s">
        <v>601</v>
      </c>
      <c r="B663" s="53" t="s">
        <v>598</v>
      </c>
      <c r="C663" s="5" t="s">
        <v>2293</v>
      </c>
      <c r="D663" s="6" t="s">
        <v>2294</v>
      </c>
      <c r="E663" s="6" t="s">
        <v>2295</v>
      </c>
      <c r="F663" s="6" t="s">
        <v>730</v>
      </c>
      <c r="G663" s="6" t="s">
        <v>2296</v>
      </c>
      <c r="H663" s="6" t="s">
        <v>642</v>
      </c>
      <c r="I663" s="26" t="n">
        <v>2</v>
      </c>
      <c r="J663" s="26" t="n">
        <f aca="false">COUNTIFS('Control Library'!$A$5:$A$50,"AI-CTRL-033",'Control Library'!$R$5:$R$50,"Implemented")+COUNTIFS('Control Library'!$A$5:$A$50,"AI-CTRL-037",'Control Library'!$R$5:$R$50,"Implemented")</f>
        <v>0</v>
      </c>
      <c r="K663" s="43" t="str">
        <f aca="false">IF(I663=0,"No wiki control",IF(J663=I663,"Fully covered",IF(J663=0,"Not covered","Partly covered")))</f>
        <v>Not covered</v>
      </c>
      <c r="L663" s="9" t="s">
        <v>2274</v>
      </c>
    </row>
    <row r="664" customFormat="false" ht="23.85" hidden="false" customHeight="false" outlineLevel="0" collapsed="false">
      <c r="A664" s="53" t="s">
        <v>601</v>
      </c>
      <c r="B664" s="53" t="s">
        <v>598</v>
      </c>
      <c r="C664" s="5" t="s">
        <v>2297</v>
      </c>
      <c r="D664" s="6" t="s">
        <v>2298</v>
      </c>
      <c r="E664" s="6" t="s">
        <v>435</v>
      </c>
      <c r="F664" s="6" t="s">
        <v>730</v>
      </c>
      <c r="G664" s="6" t="s">
        <v>439</v>
      </c>
      <c r="H664" s="6" t="s">
        <v>642</v>
      </c>
      <c r="I664" s="26" t="n">
        <v>1</v>
      </c>
      <c r="J664" s="26" t="n">
        <f aca="false">COUNTIFS('Control Library'!$A$5:$A$50,"AI-CTRL-033",'Control Library'!$R$5:$R$50,"Implemented")</f>
        <v>0</v>
      </c>
      <c r="K664" s="43" t="str">
        <f aca="false">IF(I664=0,"No wiki control",IF(J664=I664,"Fully covered",IF(J664=0,"Not covered","Partly covered")))</f>
        <v>Not covered</v>
      </c>
      <c r="L664" s="9" t="s">
        <v>2274</v>
      </c>
    </row>
    <row r="665" customFormat="false" ht="35.05" hidden="false" customHeight="false" outlineLevel="0" collapsed="false">
      <c r="A665" s="53" t="s">
        <v>601</v>
      </c>
      <c r="B665" s="53" t="s">
        <v>598</v>
      </c>
      <c r="C665" s="5" t="s">
        <v>2299</v>
      </c>
      <c r="D665" s="6" t="s">
        <v>2300</v>
      </c>
      <c r="E665" s="6" t="s">
        <v>876</v>
      </c>
      <c r="F665" s="6" t="s">
        <v>730</v>
      </c>
      <c r="G665" s="6" t="s">
        <v>327</v>
      </c>
      <c r="H665" s="6" t="s">
        <v>642</v>
      </c>
      <c r="I665" s="26" t="n">
        <v>2</v>
      </c>
      <c r="J665" s="26" t="n">
        <f aca="false">COUNTIFS('Control Library'!$A$5:$A$50,"AI-CTRL-019",'Control Library'!$R$5:$R$50,"Implemented")+COUNTIFS('Control Library'!$A$5:$A$50,"AI-CTRL-029",'Control Library'!$R$5:$R$50,"Implemented")</f>
        <v>0</v>
      </c>
      <c r="K665" s="43" t="str">
        <f aca="false">IF(I665=0,"No wiki control",IF(J665=I665,"Fully covered",IF(J665=0,"Not covered","Partly covered")))</f>
        <v>Not covered</v>
      </c>
      <c r="L665" s="9" t="s">
        <v>2274</v>
      </c>
    </row>
    <row r="666" customFormat="false" ht="23.85" hidden="false" customHeight="false" outlineLevel="0" collapsed="false">
      <c r="A666" s="53" t="s">
        <v>601</v>
      </c>
      <c r="B666" s="53" t="s">
        <v>598</v>
      </c>
      <c r="C666" s="5" t="s">
        <v>2301</v>
      </c>
      <c r="D666" s="6" t="s">
        <v>2302</v>
      </c>
      <c r="E666" s="6" t="s">
        <v>2025</v>
      </c>
      <c r="F666" s="6" t="s">
        <v>730</v>
      </c>
      <c r="G666" s="6" t="s">
        <v>1444</v>
      </c>
      <c r="H666" s="6" t="s">
        <v>642</v>
      </c>
      <c r="I666" s="26" t="n">
        <v>2</v>
      </c>
      <c r="J666" s="26" t="n">
        <f aca="false">COUNTIFS('Control Library'!$A$5:$A$50,"AI-CTRL-014",'Control Library'!$R$5:$R$50,"Implemented")+COUNTIFS('Control Library'!$A$5:$A$50,"AI-CTRL-031",'Control Library'!$R$5:$R$50,"Implemented")</f>
        <v>0</v>
      </c>
      <c r="K666" s="43" t="str">
        <f aca="false">IF(I666=0,"No wiki control",IF(J666=I666,"Fully covered",IF(J666=0,"Not covered","Partly covered")))</f>
        <v>Not covered</v>
      </c>
      <c r="L666" s="9" t="s">
        <v>2274</v>
      </c>
    </row>
    <row r="667" customFormat="false" ht="23.85" hidden="false" customHeight="false" outlineLevel="0" collapsed="false">
      <c r="A667" s="53" t="s">
        <v>601</v>
      </c>
      <c r="B667" s="53" t="s">
        <v>598</v>
      </c>
      <c r="C667" s="5" t="s">
        <v>2303</v>
      </c>
      <c r="D667" s="6" t="s">
        <v>2304</v>
      </c>
      <c r="E667" s="6" t="s">
        <v>1893</v>
      </c>
      <c r="F667" s="6" t="s">
        <v>730</v>
      </c>
      <c r="G667" s="6" t="s">
        <v>1894</v>
      </c>
      <c r="H667" s="6" t="s">
        <v>642</v>
      </c>
      <c r="I667" s="26" t="n">
        <v>2</v>
      </c>
      <c r="J667" s="26" t="n">
        <f aca="false">COUNTIFS('Control Library'!$A$5:$A$50,"AI-CTRL-004",'Control Library'!$R$5:$R$50,"Implemented")+COUNTIFS('Control Library'!$A$5:$A$50,"AI-CTRL-020",'Control Library'!$R$5:$R$50,"Implemented")</f>
        <v>0</v>
      </c>
      <c r="K667" s="43" t="str">
        <f aca="false">IF(I667=0,"No wiki control",IF(J667=I667,"Fully covered",IF(J667=0,"Not covered","Partly covered")))</f>
        <v>Not covered</v>
      </c>
      <c r="L667" s="9" t="s">
        <v>2274</v>
      </c>
    </row>
    <row r="668" customFormat="false" ht="23.85" hidden="false" customHeight="false" outlineLevel="0" collapsed="false">
      <c r="A668" s="53" t="s">
        <v>601</v>
      </c>
      <c r="B668" s="53" t="s">
        <v>598</v>
      </c>
      <c r="C668" s="5" t="s">
        <v>2305</v>
      </c>
      <c r="D668" s="6" t="s">
        <v>2306</v>
      </c>
      <c r="E668" s="6" t="s">
        <v>413</v>
      </c>
      <c r="F668" s="6" t="s">
        <v>730</v>
      </c>
      <c r="G668" s="6" t="s">
        <v>399</v>
      </c>
      <c r="H668" s="6" t="s">
        <v>657</v>
      </c>
      <c r="I668" s="26" t="n">
        <v>1</v>
      </c>
      <c r="J668" s="26" t="n">
        <f aca="false">COUNTIFS('Control Library'!$A$5:$A$50,"AI-CTRL-030",'Control Library'!$R$5:$R$50,"Implemented")</f>
        <v>0</v>
      </c>
      <c r="K668" s="43" t="str">
        <f aca="false">IF(I668=0,"No wiki control",IF(J668=I668,"Fully covered",IF(J668=0,"Not covered","Partly covered")))</f>
        <v>Not covered</v>
      </c>
      <c r="L668" s="9" t="s">
        <v>2274</v>
      </c>
    </row>
    <row r="669" customFormat="false" ht="35.05" hidden="false" customHeight="false" outlineLevel="0" collapsed="false">
      <c r="A669" s="53" t="s">
        <v>601</v>
      </c>
      <c r="B669" s="53" t="s">
        <v>598</v>
      </c>
      <c r="C669" s="5" t="s">
        <v>2307</v>
      </c>
      <c r="D669" s="6" t="s">
        <v>2308</v>
      </c>
      <c r="E669" s="6" t="s">
        <v>2309</v>
      </c>
      <c r="F669" s="6" t="s">
        <v>730</v>
      </c>
      <c r="G669" s="6" t="s">
        <v>2310</v>
      </c>
      <c r="H669" s="6" t="s">
        <v>642</v>
      </c>
      <c r="I669" s="26" t="n">
        <v>2</v>
      </c>
      <c r="J669" s="26" t="n">
        <f aca="false">COUNTIFS('Control Library'!$A$5:$A$50,"AI-CTRL-031",'Control Library'!$R$5:$R$50,"Implemented")+COUNTIFS('Control Library'!$A$5:$A$50,"AI-CTRL-033",'Control Library'!$R$5:$R$50,"Implemented")</f>
        <v>0</v>
      </c>
      <c r="K669" s="43" t="str">
        <f aca="false">IF(I669=0,"No wiki control",IF(J669=I669,"Fully covered",IF(J669=0,"Not covered","Partly covered")))</f>
        <v>Not covered</v>
      </c>
      <c r="L669" s="9" t="s">
        <v>2274</v>
      </c>
    </row>
    <row r="670" customFormat="false" ht="23.85" hidden="false" customHeight="false" outlineLevel="0" collapsed="false">
      <c r="A670" s="53" t="s">
        <v>601</v>
      </c>
      <c r="B670" s="53" t="s">
        <v>598</v>
      </c>
      <c r="C670" s="5" t="s">
        <v>2311</v>
      </c>
      <c r="D670" s="6" t="s">
        <v>2312</v>
      </c>
      <c r="E670" s="6" t="s">
        <v>444</v>
      </c>
      <c r="F670" s="6" t="s">
        <v>730</v>
      </c>
      <c r="G670" s="6" t="s">
        <v>447</v>
      </c>
      <c r="H670" s="6" t="s">
        <v>642</v>
      </c>
      <c r="I670" s="26" t="n">
        <v>1</v>
      </c>
      <c r="J670" s="26" t="n">
        <f aca="false">COUNTIFS('Control Library'!$A$5:$A$50,"AI-CTRL-034",'Control Library'!$R$5:$R$50,"Implemented")</f>
        <v>0</v>
      </c>
      <c r="K670" s="43" t="str">
        <f aca="false">IF(I670=0,"No wiki control",IF(J670=I670,"Fully covered",IF(J670=0,"Not covered","Partly covered")))</f>
        <v>Not covered</v>
      </c>
      <c r="L670" s="9" t="s">
        <v>2274</v>
      </c>
    </row>
    <row r="671" customFormat="false" ht="23.85" hidden="false" customHeight="false" outlineLevel="0" collapsed="false">
      <c r="A671" s="53" t="s">
        <v>601</v>
      </c>
      <c r="B671" s="53" t="s">
        <v>598</v>
      </c>
      <c r="C671" s="5" t="s">
        <v>2313</v>
      </c>
      <c r="D671" s="6" t="s">
        <v>2314</v>
      </c>
      <c r="E671" s="6" t="s">
        <v>2315</v>
      </c>
      <c r="F671" s="6" t="s">
        <v>730</v>
      </c>
      <c r="G671" s="6" t="s">
        <v>2316</v>
      </c>
      <c r="H671" s="6" t="s">
        <v>657</v>
      </c>
      <c r="I671" s="26" t="n">
        <v>2</v>
      </c>
      <c r="J671" s="26" t="n">
        <f aca="false">COUNTIFS('Control Library'!$A$5:$A$50,"AI-CTRL-005",'Control Library'!$R$5:$R$50,"Implemented")+COUNTIFS('Control Library'!$A$5:$A$50,"AI-CTRL-032",'Control Library'!$R$5:$R$50,"Implemented")</f>
        <v>0</v>
      </c>
      <c r="K671" s="43" t="str">
        <f aca="false">IF(I671=0,"No wiki control",IF(J671=I671,"Fully covered",IF(J671=0,"Not covered","Partly covered")))</f>
        <v>Not covered</v>
      </c>
      <c r="L671" s="9" t="s">
        <v>2274</v>
      </c>
    </row>
    <row r="672" customFormat="false" ht="23.85" hidden="false" customHeight="false" outlineLevel="0" collapsed="false">
      <c r="A672" s="53" t="s">
        <v>601</v>
      </c>
      <c r="B672" s="53" t="s">
        <v>598</v>
      </c>
      <c r="C672" s="5" t="s">
        <v>2317</v>
      </c>
      <c r="D672" s="6" t="s">
        <v>2318</v>
      </c>
      <c r="E672" s="6" t="s">
        <v>2319</v>
      </c>
      <c r="F672" s="6" t="s">
        <v>730</v>
      </c>
      <c r="G672" s="6" t="s">
        <v>1032</v>
      </c>
      <c r="H672" s="6" t="s">
        <v>642</v>
      </c>
      <c r="I672" s="26" t="n">
        <v>2</v>
      </c>
      <c r="J672" s="26" t="n">
        <f aca="false">COUNTIFS('Control Library'!$A$5:$A$50,"AI-CTRL-009",'Control Library'!$R$5:$R$50,"Implemented")+COUNTIFS('Control Library'!$A$5:$A$50,"AI-CTRL-034",'Control Library'!$R$5:$R$50,"Implemented")</f>
        <v>0</v>
      </c>
      <c r="K672" s="43" t="str">
        <f aca="false">IF(I672=0,"No wiki control",IF(J672=I672,"Fully covered",IF(J672=0,"Not covered","Partly covered")))</f>
        <v>Not covered</v>
      </c>
      <c r="L672" s="9" t="s">
        <v>2274</v>
      </c>
    </row>
    <row r="673" customFormat="false" ht="23.85" hidden="false" customHeight="false" outlineLevel="0" collapsed="false">
      <c r="A673" s="53" t="s">
        <v>601</v>
      </c>
      <c r="B673" s="53" t="s">
        <v>598</v>
      </c>
      <c r="C673" s="5" t="s">
        <v>2320</v>
      </c>
      <c r="D673" s="6" t="s">
        <v>2321</v>
      </c>
      <c r="E673" s="6" t="s">
        <v>2322</v>
      </c>
      <c r="F673" s="6" t="s">
        <v>730</v>
      </c>
      <c r="G673" s="6" t="s">
        <v>2323</v>
      </c>
      <c r="H673" s="6" t="s">
        <v>642</v>
      </c>
      <c r="I673" s="26" t="n">
        <v>2</v>
      </c>
      <c r="J673" s="26" t="n">
        <f aca="false">COUNTIFS('Control Library'!$A$5:$A$50,"AI-CTRL-035",'Control Library'!$R$5:$R$50,"Implemented")+COUNTIFS('Control Library'!$A$5:$A$50,"AI-CTRL-037",'Control Library'!$R$5:$R$50,"Implemented")</f>
        <v>0</v>
      </c>
      <c r="K673" s="43" t="str">
        <f aca="false">IF(I673=0,"No wiki control",IF(J673=I673,"Fully covered",IF(J673=0,"Not covered","Partly covered")))</f>
        <v>Not covered</v>
      </c>
      <c r="L673" s="9" t="s">
        <v>2274</v>
      </c>
    </row>
    <row r="674" customFormat="false" ht="23.85" hidden="false" customHeight="false" outlineLevel="0" collapsed="false">
      <c r="A674" s="53" t="s">
        <v>601</v>
      </c>
      <c r="B674" s="53" t="s">
        <v>598</v>
      </c>
      <c r="C674" s="5" t="s">
        <v>2324</v>
      </c>
      <c r="D674" s="6" t="s">
        <v>2325</v>
      </c>
      <c r="E674" s="6" t="s">
        <v>453</v>
      </c>
      <c r="F674" s="6" t="s">
        <v>730</v>
      </c>
      <c r="G674" s="6" t="s">
        <v>456</v>
      </c>
      <c r="H674" s="6" t="s">
        <v>642</v>
      </c>
      <c r="I674" s="26" t="n">
        <v>1</v>
      </c>
      <c r="J674" s="26" t="n">
        <f aca="false">COUNTIFS('Control Library'!$A$5:$A$50,"AI-CTRL-035",'Control Library'!$R$5:$R$50,"Implemented")</f>
        <v>0</v>
      </c>
      <c r="K674" s="43" t="str">
        <f aca="false">IF(I674=0,"No wiki control",IF(J674=I674,"Fully covered",IF(J674=0,"Not covered","Partly covered")))</f>
        <v>Not covered</v>
      </c>
      <c r="L674" s="9" t="s">
        <v>2274</v>
      </c>
    </row>
    <row r="675" customFormat="false" ht="46.25" hidden="false" customHeight="false" outlineLevel="0" collapsed="false">
      <c r="A675" s="53" t="s">
        <v>602</v>
      </c>
      <c r="B675" s="53" t="s">
        <v>598</v>
      </c>
      <c r="C675" s="5" t="s">
        <v>2326</v>
      </c>
      <c r="D675" s="6" t="s">
        <v>2327</v>
      </c>
      <c r="E675" s="6" t="s">
        <v>2328</v>
      </c>
      <c r="F675" s="6" t="s">
        <v>730</v>
      </c>
      <c r="G675" s="6" t="s">
        <v>2329</v>
      </c>
      <c r="H675" s="6" t="s">
        <v>642</v>
      </c>
      <c r="I675" s="26" t="n">
        <v>2</v>
      </c>
      <c r="J675" s="26" t="n">
        <f aca="false">COUNTIFS('Control Library'!$A$5:$A$50,"AI-CTRL-011",'Control Library'!$R$5:$R$50,"Implemented")+COUNTIFS('Control Library'!$A$5:$A$50,"AI-CTRL-017",'Control Library'!$R$5:$R$50,"Implemented")</f>
        <v>0</v>
      </c>
      <c r="K675" s="43" t="str">
        <f aca="false">IF(I675=0,"No wiki control",IF(J675=I675,"Fully covered",IF(J675=0,"Not covered","Partly covered")))</f>
        <v>Not covered</v>
      </c>
      <c r="L675" s="9" t="s">
        <v>2330</v>
      </c>
    </row>
    <row r="676" customFormat="false" ht="46.25" hidden="false" customHeight="false" outlineLevel="0" collapsed="false">
      <c r="A676" s="53" t="s">
        <v>602</v>
      </c>
      <c r="B676" s="53" t="s">
        <v>598</v>
      </c>
      <c r="C676" s="5" t="s">
        <v>2331</v>
      </c>
      <c r="D676" s="6" t="s">
        <v>2332</v>
      </c>
      <c r="E676" s="6" t="s">
        <v>2333</v>
      </c>
      <c r="F676" s="6" t="s">
        <v>730</v>
      </c>
      <c r="G676" s="6" t="s">
        <v>2334</v>
      </c>
      <c r="H676" s="6" t="s">
        <v>642</v>
      </c>
      <c r="I676" s="26" t="n">
        <v>3</v>
      </c>
      <c r="J676" s="26" t="n">
        <f aca="false">COUNTIFS('Control Library'!$A$5:$A$50,"AI-CTRL-004",'Control Library'!$R$5:$R$50,"Implemented")+COUNTIFS('Control Library'!$A$5:$A$50,"AI-CTRL-033",'Control Library'!$R$5:$R$50,"Implemented")+COUNTIFS('Control Library'!$A$5:$A$50,"AI-CTRL-034",'Control Library'!$R$5:$R$50,"Implemented")</f>
        <v>0</v>
      </c>
      <c r="K676" s="43" t="str">
        <f aca="false">IF(I676=0,"No wiki control",IF(J676=I676,"Fully covered",IF(J676=0,"Not covered","Partly covered")))</f>
        <v>Not covered</v>
      </c>
      <c r="L676" s="9" t="s">
        <v>2330</v>
      </c>
    </row>
    <row r="677" customFormat="false" ht="46.25" hidden="false" customHeight="false" outlineLevel="0" collapsed="false">
      <c r="A677" s="53" t="s">
        <v>602</v>
      </c>
      <c r="B677" s="53" t="s">
        <v>598</v>
      </c>
      <c r="C677" s="5" t="s">
        <v>2335</v>
      </c>
      <c r="D677" s="6" t="s">
        <v>2336</v>
      </c>
      <c r="E677" s="6" t="s">
        <v>2337</v>
      </c>
      <c r="F677" s="6" t="s">
        <v>730</v>
      </c>
      <c r="G677" s="6" t="s">
        <v>2338</v>
      </c>
      <c r="H677" s="6" t="s">
        <v>642</v>
      </c>
      <c r="I677" s="26" t="n">
        <v>3</v>
      </c>
      <c r="J677" s="26" t="n">
        <f aca="false">COUNTIFS('Control Library'!$A$5:$A$50,"AI-CTRL-022",'Control Library'!$R$5:$R$50,"Implemented")+COUNTIFS('Control Library'!$A$5:$A$50,"AI-CTRL-025",'Control Library'!$R$5:$R$50,"Implemented")+COUNTIFS('Control Library'!$A$5:$A$50,"AI-CTRL-033",'Control Library'!$R$5:$R$50,"Implemented")</f>
        <v>0</v>
      </c>
      <c r="K677" s="43" t="str">
        <f aca="false">IF(I677=0,"No wiki control",IF(J677=I677,"Fully covered",IF(J677=0,"Not covered","Partly covered")))</f>
        <v>Not covered</v>
      </c>
      <c r="L677" s="9" t="s">
        <v>2330</v>
      </c>
    </row>
    <row r="678" customFormat="false" ht="46.25" hidden="false" customHeight="false" outlineLevel="0" collapsed="false">
      <c r="A678" s="53" t="s">
        <v>602</v>
      </c>
      <c r="B678" s="53" t="s">
        <v>598</v>
      </c>
      <c r="C678" s="5" t="s">
        <v>2339</v>
      </c>
      <c r="D678" s="6" t="s">
        <v>2340</v>
      </c>
      <c r="E678" s="6" t="s">
        <v>801</v>
      </c>
      <c r="F678" s="6" t="s">
        <v>730</v>
      </c>
      <c r="G678" s="6" t="s">
        <v>802</v>
      </c>
      <c r="H678" s="6" t="s">
        <v>642</v>
      </c>
      <c r="I678" s="26" t="n">
        <v>2</v>
      </c>
      <c r="J678" s="26" t="n">
        <f aca="false">COUNTIFS('Control Library'!$A$5:$A$50,"AI-CTRL-015",'Control Library'!$R$5:$R$50,"Implemented")+COUNTIFS('Control Library'!$A$5:$A$50,"AI-CTRL-016",'Control Library'!$R$5:$R$50,"Implemented")</f>
        <v>0</v>
      </c>
      <c r="K678" s="43" t="str">
        <f aca="false">IF(I678=0,"No wiki control",IF(J678=I678,"Fully covered",IF(J678=0,"Not covered","Partly covered")))</f>
        <v>Not covered</v>
      </c>
      <c r="L678" s="9" t="s">
        <v>2330</v>
      </c>
    </row>
    <row r="679" customFormat="false" ht="35.05" hidden="false" customHeight="false" outlineLevel="0" collapsed="false">
      <c r="A679" s="53" t="s">
        <v>602</v>
      </c>
      <c r="B679" s="53" t="s">
        <v>598</v>
      </c>
      <c r="C679" s="5" t="s">
        <v>2341</v>
      </c>
      <c r="D679" s="6" t="s">
        <v>2342</v>
      </c>
      <c r="E679" s="6" t="s">
        <v>2343</v>
      </c>
      <c r="F679" s="6" t="s">
        <v>730</v>
      </c>
      <c r="G679" s="6" t="s">
        <v>1719</v>
      </c>
      <c r="H679" s="6" t="s">
        <v>642</v>
      </c>
      <c r="I679" s="26" t="n">
        <v>2</v>
      </c>
      <c r="J679" s="26" t="n">
        <f aca="false">COUNTIFS('Control Library'!$A$5:$A$50,"AI-CTRL-011",'Control Library'!$R$5:$R$50,"Implemented")+COUNTIFS('Control Library'!$A$5:$A$50,"AI-CTRL-031",'Control Library'!$R$5:$R$50,"Implemented")</f>
        <v>0</v>
      </c>
      <c r="K679" s="43" t="str">
        <f aca="false">IF(I679=0,"No wiki control",IF(J679=I679,"Fully covered",IF(J679=0,"Not covered","Partly covered")))</f>
        <v>Not covered</v>
      </c>
      <c r="L679" s="9" t="s">
        <v>2330</v>
      </c>
    </row>
    <row r="680" customFormat="false" ht="23.85" hidden="false" customHeight="false" outlineLevel="0" collapsed="false">
      <c r="A680" s="53" t="s">
        <v>602</v>
      </c>
      <c r="B680" s="53" t="s">
        <v>598</v>
      </c>
      <c r="C680" s="5" t="s">
        <v>2344</v>
      </c>
      <c r="D680" s="6" t="s">
        <v>2345</v>
      </c>
      <c r="E680" s="6" t="s">
        <v>2328</v>
      </c>
      <c r="F680" s="6" t="s">
        <v>730</v>
      </c>
      <c r="G680" s="6" t="s">
        <v>2329</v>
      </c>
      <c r="H680" s="6" t="s">
        <v>642</v>
      </c>
      <c r="I680" s="26" t="n">
        <v>2</v>
      </c>
      <c r="J680" s="26" t="n">
        <f aca="false">COUNTIFS('Control Library'!$A$5:$A$50,"AI-CTRL-011",'Control Library'!$R$5:$R$50,"Implemented")+COUNTIFS('Control Library'!$A$5:$A$50,"AI-CTRL-017",'Control Library'!$R$5:$R$50,"Implemented")</f>
        <v>0</v>
      </c>
      <c r="K680" s="43" t="str">
        <f aca="false">IF(I680=0,"No wiki control",IF(J680=I680,"Fully covered",IF(J680=0,"Not covered","Partly covered")))</f>
        <v>Not covered</v>
      </c>
      <c r="L680" s="9" t="s">
        <v>2330</v>
      </c>
    </row>
    <row r="681" customFormat="false" ht="35.05" hidden="false" customHeight="false" outlineLevel="0" collapsed="false">
      <c r="A681" s="53" t="s">
        <v>602</v>
      </c>
      <c r="B681" s="53" t="s">
        <v>598</v>
      </c>
      <c r="C681" s="5" t="s">
        <v>2346</v>
      </c>
      <c r="D681" s="6" t="s">
        <v>2347</v>
      </c>
      <c r="E681" s="6" t="s">
        <v>282</v>
      </c>
      <c r="F681" s="6" t="s">
        <v>730</v>
      </c>
      <c r="G681" s="6" t="s">
        <v>286</v>
      </c>
      <c r="H681" s="6" t="s">
        <v>642</v>
      </c>
      <c r="I681" s="26" t="n">
        <v>1</v>
      </c>
      <c r="J681" s="26" t="n">
        <f aca="false">COUNTIFS('Control Library'!$A$5:$A$50,"AI-CTRL-014",'Control Library'!$R$5:$R$50,"Implemented")</f>
        <v>0</v>
      </c>
      <c r="K681" s="43" t="str">
        <f aca="false">IF(I681=0,"No wiki control",IF(J681=I681,"Fully covered",IF(J681=0,"Not covered","Partly covered")))</f>
        <v>Not covered</v>
      </c>
      <c r="L681" s="9" t="s">
        <v>2330</v>
      </c>
    </row>
    <row r="682" customFormat="false" ht="46.25" hidden="false" customHeight="false" outlineLevel="0" collapsed="false">
      <c r="A682" s="53" t="s">
        <v>602</v>
      </c>
      <c r="B682" s="53" t="s">
        <v>598</v>
      </c>
      <c r="C682" s="5" t="s">
        <v>2348</v>
      </c>
      <c r="D682" s="6" t="s">
        <v>2349</v>
      </c>
      <c r="E682" s="6" t="s">
        <v>453</v>
      </c>
      <c r="F682" s="6" t="s">
        <v>730</v>
      </c>
      <c r="G682" s="6" t="s">
        <v>456</v>
      </c>
      <c r="H682" s="6" t="s">
        <v>642</v>
      </c>
      <c r="I682" s="26" t="n">
        <v>1</v>
      </c>
      <c r="J682" s="26" t="n">
        <f aca="false">COUNTIFS('Control Library'!$A$5:$A$50,"AI-CTRL-035",'Control Library'!$R$5:$R$50,"Implemented")</f>
        <v>0</v>
      </c>
      <c r="K682" s="43" t="str">
        <f aca="false">IF(I682=0,"No wiki control",IF(J682=I682,"Fully covered",IF(J682=0,"Not covered","Partly covered")))</f>
        <v>Not covered</v>
      </c>
      <c r="L682" s="9" t="s">
        <v>2330</v>
      </c>
    </row>
    <row r="683" customFormat="false" ht="46.25" hidden="false" customHeight="false" outlineLevel="0" collapsed="false">
      <c r="A683" s="53" t="s">
        <v>602</v>
      </c>
      <c r="B683" s="53" t="s">
        <v>598</v>
      </c>
      <c r="C683" s="5" t="s">
        <v>2350</v>
      </c>
      <c r="D683" s="6" t="s">
        <v>2351</v>
      </c>
      <c r="E683" s="6" t="s">
        <v>230</v>
      </c>
      <c r="F683" s="6" t="s">
        <v>730</v>
      </c>
      <c r="G683" s="6" t="s">
        <v>234</v>
      </c>
      <c r="H683" s="6" t="s">
        <v>642</v>
      </c>
      <c r="I683" s="26" t="n">
        <v>1</v>
      </c>
      <c r="J683" s="26" t="n">
        <f aca="false">COUNTIFS('Control Library'!$A$5:$A$50,"AI-CTRL-008",'Control Library'!$R$5:$R$50,"Implemented")</f>
        <v>0</v>
      </c>
      <c r="K683" s="43" t="str">
        <f aca="false">IF(I683=0,"No wiki control",IF(J683=I683,"Fully covered",IF(J683=0,"Not covered","Partly covered")))</f>
        <v>Not covered</v>
      </c>
      <c r="L683" s="9" t="s">
        <v>2330</v>
      </c>
    </row>
    <row r="684" customFormat="false" ht="35.05" hidden="false" customHeight="false" outlineLevel="0" collapsed="false">
      <c r="A684" s="53" t="s">
        <v>602</v>
      </c>
      <c r="B684" s="53" t="s">
        <v>598</v>
      </c>
      <c r="C684" s="5" t="s">
        <v>2352</v>
      </c>
      <c r="D684" s="6" t="s">
        <v>2353</v>
      </c>
      <c r="E684" s="6" t="s">
        <v>2025</v>
      </c>
      <c r="F684" s="6" t="s">
        <v>730</v>
      </c>
      <c r="G684" s="6" t="s">
        <v>1444</v>
      </c>
      <c r="H684" s="6" t="s">
        <v>642</v>
      </c>
      <c r="I684" s="26" t="n">
        <v>2</v>
      </c>
      <c r="J684" s="26" t="n">
        <f aca="false">COUNTIFS('Control Library'!$A$5:$A$50,"AI-CTRL-014",'Control Library'!$R$5:$R$50,"Implemented")+COUNTIFS('Control Library'!$A$5:$A$50,"AI-CTRL-031",'Control Library'!$R$5:$R$50,"Implemented")</f>
        <v>0</v>
      </c>
      <c r="K684" s="43" t="str">
        <f aca="false">IF(I684=0,"No wiki control",IF(J684=I684,"Fully covered",IF(J684=0,"Not covered","Partly covered")))</f>
        <v>Not covered</v>
      </c>
      <c r="L684" s="9" t="s">
        <v>2330</v>
      </c>
    </row>
    <row r="685" customFormat="false" ht="35.05" hidden="false" customHeight="false" outlineLevel="0" collapsed="false">
      <c r="A685" s="53" t="s">
        <v>602</v>
      </c>
      <c r="B685" s="53" t="s">
        <v>598</v>
      </c>
      <c r="C685" s="5" t="s">
        <v>2354</v>
      </c>
      <c r="D685" s="6" t="s">
        <v>2355</v>
      </c>
      <c r="E685" s="6" t="s">
        <v>2356</v>
      </c>
      <c r="F685" s="6" t="s">
        <v>730</v>
      </c>
      <c r="G685" s="6" t="s">
        <v>2357</v>
      </c>
      <c r="H685" s="6" t="s">
        <v>657</v>
      </c>
      <c r="I685" s="26" t="n">
        <v>2</v>
      </c>
      <c r="J685" s="26" t="n">
        <f aca="false">COUNTIFS('Control Library'!$A$5:$A$50,"AI-CTRL-027",'Control Library'!$R$5:$R$50,"Implemented")+COUNTIFS('Control Library'!$A$5:$A$50,"AI-CTRL-034",'Control Library'!$R$5:$R$50,"Implemented")</f>
        <v>0</v>
      </c>
      <c r="K685" s="43" t="str">
        <f aca="false">IF(I685=0,"No wiki control",IF(J685=I685,"Fully covered",IF(J685=0,"Not covered","Partly covered")))</f>
        <v>Not covered</v>
      </c>
      <c r="L685" s="9" t="s">
        <v>2330</v>
      </c>
    </row>
    <row r="686" customFormat="false" ht="57.45" hidden="false" customHeight="false" outlineLevel="0" collapsed="false">
      <c r="A686" s="53" t="s">
        <v>602</v>
      </c>
      <c r="B686" s="53" t="s">
        <v>598</v>
      </c>
      <c r="C686" s="5" t="s">
        <v>2358</v>
      </c>
      <c r="D686" s="6" t="s">
        <v>2359</v>
      </c>
      <c r="E686" s="6" t="s">
        <v>2360</v>
      </c>
      <c r="F686" s="6" t="s">
        <v>730</v>
      </c>
      <c r="G686" s="6" t="s">
        <v>731</v>
      </c>
      <c r="H686" s="6" t="s">
        <v>642</v>
      </c>
      <c r="I686" s="26" t="n">
        <v>2</v>
      </c>
      <c r="J686" s="26" t="n">
        <f aca="false">COUNTIFS('Control Library'!$A$5:$A$50,"AI-CTRL-002",'Control Library'!$R$5:$R$50,"Implemented")+COUNTIFS('Control Library'!$A$5:$A$50,"AI-CTRL-017",'Control Library'!$R$5:$R$50,"Implemented")</f>
        <v>0</v>
      </c>
      <c r="K686" s="43" t="str">
        <f aca="false">IF(I686=0,"No wiki control",IF(J686=I686,"Fully covered",IF(J686=0,"Not covered","Partly covered")))</f>
        <v>Not covered</v>
      </c>
      <c r="L686" s="9" t="s">
        <v>2330</v>
      </c>
    </row>
    <row r="687" customFormat="false" ht="46.25" hidden="false" customHeight="false" outlineLevel="0" collapsed="false">
      <c r="A687" s="53" t="s">
        <v>602</v>
      </c>
      <c r="B687" s="53" t="s">
        <v>598</v>
      </c>
      <c r="C687" s="5" t="s">
        <v>2361</v>
      </c>
      <c r="D687" s="6" t="s">
        <v>2362</v>
      </c>
      <c r="E687" s="6" t="s">
        <v>2363</v>
      </c>
      <c r="F687" s="6" t="s">
        <v>730</v>
      </c>
      <c r="G687" s="6" t="s">
        <v>2364</v>
      </c>
      <c r="H687" s="6" t="s">
        <v>642</v>
      </c>
      <c r="I687" s="26" t="n">
        <v>3</v>
      </c>
      <c r="J687" s="26" t="n">
        <f aca="false">COUNTIFS('Control Library'!$A$5:$A$50,"AI-CTRL-031",'Control Library'!$R$5:$R$50,"Implemented")+COUNTIFS('Control Library'!$A$5:$A$50,"AI-CTRL-034",'Control Library'!$R$5:$R$50,"Implemented")+COUNTIFS('Control Library'!$A$5:$A$50,"AI-CTRL-037",'Control Library'!$R$5:$R$50,"Implemented")</f>
        <v>0</v>
      </c>
      <c r="K687" s="43" t="str">
        <f aca="false">IF(I687=0,"No wiki control",IF(J687=I687,"Fully covered",IF(J687=0,"Not covered","Partly covered")))</f>
        <v>Not covered</v>
      </c>
      <c r="L687" s="9" t="s">
        <v>2330</v>
      </c>
    </row>
    <row r="688" customFormat="false" ht="35.05" hidden="false" customHeight="false" outlineLevel="0" collapsed="false">
      <c r="A688" s="53" t="s">
        <v>602</v>
      </c>
      <c r="B688" s="53" t="s">
        <v>598</v>
      </c>
      <c r="C688" s="5" t="s">
        <v>2365</v>
      </c>
      <c r="D688" s="6" t="s">
        <v>2366</v>
      </c>
      <c r="E688" s="6" t="s">
        <v>470</v>
      </c>
      <c r="F688" s="6" t="s">
        <v>730</v>
      </c>
      <c r="G688" s="6" t="s">
        <v>2367</v>
      </c>
      <c r="H688" s="6" t="s">
        <v>657</v>
      </c>
      <c r="I688" s="26" t="n">
        <v>1</v>
      </c>
      <c r="J688" s="26" t="n">
        <f aca="false">COUNTIFS('Control Library'!$A$5:$A$50,"AI-CTRL-037",'Control Library'!$R$5:$R$50,"Implemented")</f>
        <v>0</v>
      </c>
      <c r="K688" s="43" t="str">
        <f aca="false">IF(I688=0,"No wiki control",IF(J688=I688,"Fully covered",IF(J688=0,"Not covered","Partly covered")))</f>
        <v>Not covered</v>
      </c>
      <c r="L688" s="9" t="s">
        <v>2330</v>
      </c>
    </row>
    <row r="689" customFormat="false" ht="68.65" hidden="false" customHeight="false" outlineLevel="0" collapsed="false">
      <c r="A689" s="53" t="s">
        <v>603</v>
      </c>
      <c r="B689" s="53" t="s">
        <v>598</v>
      </c>
      <c r="C689" s="5" t="s">
        <v>2368</v>
      </c>
      <c r="D689" s="6" t="s">
        <v>2369</v>
      </c>
      <c r="E689" s="6" t="s">
        <v>2370</v>
      </c>
      <c r="F689" s="6" t="s">
        <v>730</v>
      </c>
      <c r="G689" s="6" t="s">
        <v>2371</v>
      </c>
      <c r="H689" s="6" t="s">
        <v>657</v>
      </c>
      <c r="I689" s="26" t="n">
        <v>2</v>
      </c>
      <c r="J689" s="26" t="n">
        <f aca="false">COUNTIFS('Control Library'!$A$5:$A$50,"AI-CTRL-015",'Control Library'!$R$5:$R$50,"Implemented")+COUNTIFS('Control Library'!$A$5:$A$50,"AI-CTRL-045",'Control Library'!$R$5:$R$50,"Implemented")</f>
        <v>0</v>
      </c>
      <c r="K689" s="43" t="str">
        <f aca="false">IF(I689=0,"No wiki control",IF(J689=I689,"Fully covered",IF(J689=0,"Not covered","Partly covered")))</f>
        <v>Not covered</v>
      </c>
      <c r="L689" s="9" t="s">
        <v>2330</v>
      </c>
    </row>
    <row r="690" customFormat="false" ht="46.25" hidden="false" customHeight="false" outlineLevel="0" collapsed="false">
      <c r="A690" s="53" t="s">
        <v>603</v>
      </c>
      <c r="B690" s="53" t="s">
        <v>598</v>
      </c>
      <c r="C690" s="5" t="s">
        <v>2372</v>
      </c>
      <c r="D690" s="6" t="s">
        <v>2373</v>
      </c>
      <c r="E690" s="6" t="s">
        <v>2343</v>
      </c>
      <c r="F690" s="6" t="s">
        <v>730</v>
      </c>
      <c r="G690" s="6" t="s">
        <v>1719</v>
      </c>
      <c r="H690" s="6" t="s">
        <v>642</v>
      </c>
      <c r="I690" s="26" t="n">
        <v>2</v>
      </c>
      <c r="J690" s="26" t="n">
        <f aca="false">COUNTIFS('Control Library'!$A$5:$A$50,"AI-CTRL-011",'Control Library'!$R$5:$R$50,"Implemented")+COUNTIFS('Control Library'!$A$5:$A$50,"AI-CTRL-031",'Control Library'!$R$5:$R$50,"Implemented")</f>
        <v>0</v>
      </c>
      <c r="K690" s="43" t="str">
        <f aca="false">IF(I690=0,"No wiki control",IF(J690=I690,"Fully covered",IF(J690=0,"Not covered","Partly covered")))</f>
        <v>Not covered</v>
      </c>
      <c r="L690" s="9" t="s">
        <v>2330</v>
      </c>
    </row>
    <row r="691" customFormat="false" ht="35.05" hidden="false" customHeight="false" outlineLevel="0" collapsed="false">
      <c r="A691" s="53" t="s">
        <v>603</v>
      </c>
      <c r="B691" s="53" t="s">
        <v>598</v>
      </c>
      <c r="C691" s="5" t="s">
        <v>2374</v>
      </c>
      <c r="D691" s="6" t="s">
        <v>2375</v>
      </c>
      <c r="E691" s="6" t="s">
        <v>2376</v>
      </c>
      <c r="F691" s="6" t="s">
        <v>730</v>
      </c>
      <c r="G691" s="6" t="s">
        <v>2377</v>
      </c>
      <c r="H691" s="6" t="s">
        <v>642</v>
      </c>
      <c r="I691" s="26" t="n">
        <v>2</v>
      </c>
      <c r="J691" s="26" t="n">
        <f aca="false">COUNTIFS('Control Library'!$A$5:$A$50,"AI-CTRL-004",'Control Library'!$R$5:$R$50,"Implemented")+COUNTIFS('Control Library'!$A$5:$A$50,"AI-CTRL-031",'Control Library'!$R$5:$R$50,"Implemented")</f>
        <v>0</v>
      </c>
      <c r="K691" s="43" t="str">
        <f aca="false">IF(I691=0,"No wiki control",IF(J691=I691,"Fully covered",IF(J691=0,"Not covered","Partly covered")))</f>
        <v>Not covered</v>
      </c>
      <c r="L691" s="9" t="s">
        <v>2330</v>
      </c>
    </row>
    <row r="692" customFormat="false" ht="35.05" hidden="false" customHeight="false" outlineLevel="0" collapsed="false">
      <c r="A692" s="53" t="s">
        <v>603</v>
      </c>
      <c r="B692" s="53" t="s">
        <v>598</v>
      </c>
      <c r="C692" s="5" t="s">
        <v>2378</v>
      </c>
      <c r="D692" s="6" t="s">
        <v>2379</v>
      </c>
      <c r="E692" s="6" t="s">
        <v>1224</v>
      </c>
      <c r="F692" s="6" t="s">
        <v>730</v>
      </c>
      <c r="G692" s="6" t="s">
        <v>1225</v>
      </c>
      <c r="H692" s="6" t="s">
        <v>642</v>
      </c>
      <c r="I692" s="26" t="n">
        <v>2</v>
      </c>
      <c r="J692" s="26" t="n">
        <f aca="false">COUNTIFS('Control Library'!$A$5:$A$50,"AI-CTRL-005",'Control Library'!$R$5:$R$50,"Implemented")+COUNTIFS('Control Library'!$A$5:$A$50,"AI-CTRL-034",'Control Library'!$R$5:$R$50,"Implemented")</f>
        <v>0</v>
      </c>
      <c r="K692" s="43" t="str">
        <f aca="false">IF(I692=0,"No wiki control",IF(J692=I692,"Fully covered",IF(J692=0,"Not covered","Partly covered")))</f>
        <v>Not covered</v>
      </c>
      <c r="L692" s="9" t="s">
        <v>2330</v>
      </c>
    </row>
    <row r="693" customFormat="false" ht="35.05" hidden="false" customHeight="false" outlineLevel="0" collapsed="false">
      <c r="A693" s="53" t="s">
        <v>603</v>
      </c>
      <c r="B693" s="53" t="s">
        <v>598</v>
      </c>
      <c r="C693" s="5" t="s">
        <v>2380</v>
      </c>
      <c r="D693" s="6" t="s">
        <v>2381</v>
      </c>
      <c r="E693" s="6" t="s">
        <v>2382</v>
      </c>
      <c r="F693" s="6" t="s">
        <v>730</v>
      </c>
      <c r="G693" s="6" t="s">
        <v>266</v>
      </c>
      <c r="H693" s="6" t="s">
        <v>642</v>
      </c>
      <c r="I693" s="26" t="n">
        <v>2</v>
      </c>
      <c r="J693" s="26" t="n">
        <f aca="false">COUNTIFS('Control Library'!$A$5:$A$50,"AI-CTRL-011",'Control Library'!$R$5:$R$50,"Implemented")+COUNTIFS('Control Library'!$A$5:$A$50,"AI-CTRL-012",'Control Library'!$R$5:$R$50,"Implemented")</f>
        <v>0</v>
      </c>
      <c r="K693" s="43" t="str">
        <f aca="false">IF(I693=0,"No wiki control",IF(J693=I693,"Fully covered",IF(J693=0,"Not covered","Partly covered")))</f>
        <v>Not covered</v>
      </c>
      <c r="L693" s="9" t="s">
        <v>2330</v>
      </c>
    </row>
    <row r="694" customFormat="false" ht="35.05" hidden="false" customHeight="false" outlineLevel="0" collapsed="false">
      <c r="A694" s="53" t="s">
        <v>603</v>
      </c>
      <c r="B694" s="53" t="s">
        <v>598</v>
      </c>
      <c r="C694" s="5" t="s">
        <v>2383</v>
      </c>
      <c r="D694" s="6" t="s">
        <v>2384</v>
      </c>
      <c r="E694" s="6" t="s">
        <v>2385</v>
      </c>
      <c r="F694" s="6" t="s">
        <v>730</v>
      </c>
      <c r="G694" s="6" t="s">
        <v>2386</v>
      </c>
      <c r="H694" s="6" t="s">
        <v>657</v>
      </c>
      <c r="I694" s="26" t="n">
        <v>2</v>
      </c>
      <c r="J694" s="26" t="n">
        <f aca="false">COUNTIFS('Control Library'!$A$5:$A$50,"AI-CTRL-021",'Control Library'!$R$5:$R$50,"Implemented")+COUNTIFS('Control Library'!$A$5:$A$50,"AI-CTRL-044",'Control Library'!$R$5:$R$50,"Implemented")</f>
        <v>0</v>
      </c>
      <c r="K694" s="43" t="str">
        <f aca="false">IF(I694=0,"No wiki control",IF(J694=I694,"Fully covered",IF(J694=0,"Not covered","Partly covered")))</f>
        <v>Not covered</v>
      </c>
      <c r="L694" s="9" t="s">
        <v>2330</v>
      </c>
    </row>
    <row r="695" customFormat="false" ht="23.85" hidden="false" customHeight="false" outlineLevel="0" collapsed="false">
      <c r="A695" s="53" t="s">
        <v>603</v>
      </c>
      <c r="B695" s="53" t="s">
        <v>598</v>
      </c>
      <c r="C695" s="5" t="s">
        <v>2387</v>
      </c>
      <c r="D695" s="6" t="s">
        <v>2388</v>
      </c>
      <c r="E695" s="6" t="s">
        <v>339</v>
      </c>
      <c r="F695" s="6" t="s">
        <v>730</v>
      </c>
      <c r="G695" s="6" t="s">
        <v>343</v>
      </c>
      <c r="H695" s="6" t="s">
        <v>1170</v>
      </c>
      <c r="I695" s="26" t="n">
        <v>1</v>
      </c>
      <c r="J695" s="26" t="n">
        <f aca="false">COUNTIFS('Control Library'!$A$5:$A$50,"AI-CTRL-021",'Control Library'!$R$5:$R$50,"Implemented")</f>
        <v>0</v>
      </c>
      <c r="K695" s="43" t="str">
        <f aca="false">IF(I695=0,"No wiki control",IF(J695=I695,"Fully covered",IF(J695=0,"Not covered","Partly covered")))</f>
        <v>Not covered</v>
      </c>
      <c r="L695" s="9" t="s">
        <v>2330</v>
      </c>
    </row>
    <row r="696" customFormat="false" ht="35.05" hidden="false" customHeight="false" outlineLevel="0" collapsed="false">
      <c r="A696" s="53" t="s">
        <v>603</v>
      </c>
      <c r="B696" s="53" t="s">
        <v>598</v>
      </c>
      <c r="C696" s="5" t="s">
        <v>2389</v>
      </c>
      <c r="D696" s="6" t="s">
        <v>2390</v>
      </c>
      <c r="E696" s="6" t="s">
        <v>2391</v>
      </c>
      <c r="F696" s="6" t="s">
        <v>730</v>
      </c>
      <c r="G696" s="6" t="s">
        <v>2392</v>
      </c>
      <c r="H696" s="6" t="s">
        <v>642</v>
      </c>
      <c r="I696" s="26" t="n">
        <v>2</v>
      </c>
      <c r="J696" s="26" t="n">
        <f aca="false">COUNTIFS('Control Library'!$A$5:$A$50,"AI-CTRL-016",'Control Library'!$R$5:$R$50,"Implemented")+COUNTIFS('Control Library'!$A$5:$A$50,"AI-CTRL-027",'Control Library'!$R$5:$R$50,"Implemented")</f>
        <v>0</v>
      </c>
      <c r="K696" s="43" t="str">
        <f aca="false">IF(I696=0,"No wiki control",IF(J696=I696,"Fully covered",IF(J696=0,"Not covered","Partly covered")))</f>
        <v>Not covered</v>
      </c>
      <c r="L696" s="9" t="s">
        <v>2330</v>
      </c>
    </row>
    <row r="697" customFormat="false" ht="46.25" hidden="false" customHeight="false" outlineLevel="0" collapsed="false">
      <c r="A697" s="53" t="s">
        <v>603</v>
      </c>
      <c r="B697" s="53" t="s">
        <v>598</v>
      </c>
      <c r="C697" s="5" t="s">
        <v>2393</v>
      </c>
      <c r="D697" s="6" t="s">
        <v>2394</v>
      </c>
      <c r="E697" s="6" t="s">
        <v>2395</v>
      </c>
      <c r="F697" s="6" t="s">
        <v>730</v>
      </c>
      <c r="G697" s="6" t="s">
        <v>2396</v>
      </c>
      <c r="H697" s="6" t="s">
        <v>642</v>
      </c>
      <c r="I697" s="26" t="n">
        <v>2</v>
      </c>
      <c r="J697" s="26" t="n">
        <f aca="false">COUNTIFS('Control Library'!$A$5:$A$50,"AI-CTRL-017",'Control Library'!$R$5:$R$50,"Implemented")+COUNTIFS('Control Library'!$A$5:$A$50,"AI-CTRL-027",'Control Library'!$R$5:$R$50,"Implemented")</f>
        <v>0</v>
      </c>
      <c r="K697" s="43" t="str">
        <f aca="false">IF(I697=0,"No wiki control",IF(J697=I697,"Fully covered",IF(J697=0,"Not covered","Partly covered")))</f>
        <v>Not covered</v>
      </c>
      <c r="L697" s="9" t="s">
        <v>2330</v>
      </c>
    </row>
    <row r="698" customFormat="false" ht="46.25" hidden="false" customHeight="false" outlineLevel="0" collapsed="false">
      <c r="A698" s="53" t="s">
        <v>603</v>
      </c>
      <c r="B698" s="53" t="s">
        <v>598</v>
      </c>
      <c r="C698" s="5" t="s">
        <v>2397</v>
      </c>
      <c r="D698" s="6" t="s">
        <v>2398</v>
      </c>
      <c r="E698" s="6" t="s">
        <v>2399</v>
      </c>
      <c r="F698" s="6" t="s">
        <v>730</v>
      </c>
      <c r="G698" s="6" t="s">
        <v>2400</v>
      </c>
      <c r="H698" s="6" t="s">
        <v>642</v>
      </c>
      <c r="I698" s="26" t="n">
        <v>3</v>
      </c>
      <c r="J698" s="26" t="n">
        <f aca="false">COUNTIFS('Control Library'!$A$5:$A$50,"AI-CTRL-029",'Control Library'!$R$5:$R$50,"Implemented")+COUNTIFS('Control Library'!$A$5:$A$50,"AI-CTRL-031",'Control Library'!$R$5:$R$50,"Implemented")+COUNTIFS('Control Library'!$A$5:$A$50,"AI-CTRL-042",'Control Library'!$R$5:$R$50,"Implemented")</f>
        <v>0</v>
      </c>
      <c r="K698" s="43" t="str">
        <f aca="false">IF(I698=0,"No wiki control",IF(J698=I698,"Fully covered",IF(J698=0,"Not covered","Partly covered")))</f>
        <v>Not covered</v>
      </c>
      <c r="L698" s="9" t="s">
        <v>2330</v>
      </c>
    </row>
    <row r="699" customFormat="false" ht="46.25" hidden="false" customHeight="false" outlineLevel="0" collapsed="false">
      <c r="A699" s="53" t="s">
        <v>603</v>
      </c>
      <c r="B699" s="53" t="s">
        <v>598</v>
      </c>
      <c r="C699" s="5" t="s">
        <v>2401</v>
      </c>
      <c r="D699" s="6" t="s">
        <v>2402</v>
      </c>
      <c r="E699" s="6" t="s">
        <v>826</v>
      </c>
      <c r="F699" s="6" t="s">
        <v>730</v>
      </c>
      <c r="G699" s="6" t="s">
        <v>473</v>
      </c>
      <c r="H699" s="6" t="s">
        <v>642</v>
      </c>
      <c r="I699" s="26" t="n">
        <v>2</v>
      </c>
      <c r="J699" s="26" t="n">
        <f aca="false">COUNTIFS('Control Library'!$A$5:$A$50,"AI-CTRL-011",'Control Library'!$R$5:$R$50,"Implemented")+COUNTIFS('Control Library'!$A$5:$A$50,"AI-CTRL-037",'Control Library'!$R$5:$R$50,"Implemented")</f>
        <v>0</v>
      </c>
      <c r="K699" s="43" t="str">
        <f aca="false">IF(I699=0,"No wiki control",IF(J699=I699,"Fully covered",IF(J699=0,"Not covered","Partly covered")))</f>
        <v>Not covered</v>
      </c>
      <c r="L699" s="9" t="s">
        <v>2330</v>
      </c>
    </row>
    <row r="700" customFormat="false" ht="57.45" hidden="false" customHeight="false" outlineLevel="0" collapsed="false">
      <c r="A700" s="53" t="s">
        <v>603</v>
      </c>
      <c r="B700" s="53" t="s">
        <v>598</v>
      </c>
      <c r="C700" s="5" t="s">
        <v>2403</v>
      </c>
      <c r="D700" s="6" t="s">
        <v>2404</v>
      </c>
      <c r="E700" s="6" t="s">
        <v>2405</v>
      </c>
      <c r="F700" s="6" t="s">
        <v>730</v>
      </c>
      <c r="G700" s="6" t="s">
        <v>2406</v>
      </c>
      <c r="H700" s="6" t="s">
        <v>642</v>
      </c>
      <c r="I700" s="26" t="n">
        <v>3</v>
      </c>
      <c r="J700" s="26" t="n">
        <f aca="false">COUNTIFS('Control Library'!$A$5:$A$50,"AI-CTRL-017",'Control Library'!$R$5:$R$50,"Implemented")+COUNTIFS('Control Library'!$A$5:$A$50,"AI-CTRL-023",'Control Library'!$R$5:$R$50,"Implemented")+COUNTIFS('Control Library'!$A$5:$A$50,"AI-CTRL-025",'Control Library'!$R$5:$R$50,"Implemented")</f>
        <v>0</v>
      </c>
      <c r="K700" s="43" t="str">
        <f aca="false">IF(I700=0,"No wiki control",IF(J700=I700,"Fully covered",IF(J700=0,"Not covered","Partly covered")))</f>
        <v>Not covered</v>
      </c>
      <c r="L700" s="9" t="s">
        <v>2330</v>
      </c>
    </row>
    <row r="701" customFormat="false" ht="35.05" hidden="false" customHeight="false" outlineLevel="0" collapsed="false">
      <c r="A701" s="53" t="s">
        <v>603</v>
      </c>
      <c r="B701" s="53" t="s">
        <v>598</v>
      </c>
      <c r="C701" s="5" t="s">
        <v>2407</v>
      </c>
      <c r="D701" s="6" t="s">
        <v>2408</v>
      </c>
      <c r="E701" s="6" t="s">
        <v>2409</v>
      </c>
      <c r="F701" s="6" t="s">
        <v>730</v>
      </c>
      <c r="G701" s="6" t="s">
        <v>2410</v>
      </c>
      <c r="H701" s="6" t="s">
        <v>657</v>
      </c>
      <c r="I701" s="26" t="n">
        <v>2</v>
      </c>
      <c r="J701" s="26" t="n">
        <f aca="false">COUNTIFS('Control Library'!$A$5:$A$50,"AI-CTRL-022",'Control Library'!$R$5:$R$50,"Implemented")+COUNTIFS('Control Library'!$A$5:$A$50,"AI-CTRL-027",'Control Library'!$R$5:$R$50,"Implemented")</f>
        <v>0</v>
      </c>
      <c r="K701" s="43" t="str">
        <f aca="false">IF(I701=0,"No wiki control",IF(J701=I701,"Fully covered",IF(J701=0,"Not covered","Partly covered")))</f>
        <v>Not covered</v>
      </c>
      <c r="L701" s="9" t="s">
        <v>2330</v>
      </c>
    </row>
    <row r="702" customFormat="false" ht="35.05" hidden="false" customHeight="false" outlineLevel="0" collapsed="false">
      <c r="A702" s="53" t="s">
        <v>603</v>
      </c>
      <c r="B702" s="53" t="s">
        <v>598</v>
      </c>
      <c r="C702" s="5" t="s">
        <v>2411</v>
      </c>
      <c r="D702" s="6" t="s">
        <v>2412</v>
      </c>
      <c r="E702" s="6" t="s">
        <v>2295</v>
      </c>
      <c r="F702" s="6" t="s">
        <v>730</v>
      </c>
      <c r="G702" s="6" t="s">
        <v>2367</v>
      </c>
      <c r="H702" s="6" t="s">
        <v>657</v>
      </c>
      <c r="I702" s="26" t="n">
        <v>2</v>
      </c>
      <c r="J702" s="26" t="n">
        <f aca="false">COUNTIFS('Control Library'!$A$5:$A$50,"AI-CTRL-033",'Control Library'!$R$5:$R$50,"Implemented")+COUNTIFS('Control Library'!$A$5:$A$50,"AI-CTRL-037",'Control Library'!$R$5:$R$50,"Implemented")</f>
        <v>0</v>
      </c>
      <c r="K702" s="43" t="str">
        <f aca="false">IF(I702=0,"No wiki control",IF(J702=I702,"Fully covered",IF(J702=0,"Not covered","Partly covered")))</f>
        <v>Not covered</v>
      </c>
      <c r="L702" s="9" t="s">
        <v>2330</v>
      </c>
    </row>
    <row r="703" customFormat="false" ht="46.25" hidden="false" customHeight="false" outlineLevel="0" collapsed="false">
      <c r="A703" s="53" t="s">
        <v>603</v>
      </c>
      <c r="B703" s="53" t="s">
        <v>598</v>
      </c>
      <c r="C703" s="5" t="s">
        <v>2413</v>
      </c>
      <c r="D703" s="6" t="s">
        <v>2414</v>
      </c>
      <c r="E703" s="6" t="s">
        <v>788</v>
      </c>
      <c r="F703" s="6" t="s">
        <v>730</v>
      </c>
      <c r="G703" s="6" t="s">
        <v>789</v>
      </c>
      <c r="H703" s="6" t="s">
        <v>642</v>
      </c>
      <c r="I703" s="26" t="n">
        <v>2</v>
      </c>
      <c r="J703" s="26" t="n">
        <f aca="false">COUNTIFS('Control Library'!$A$5:$A$50,"AI-CTRL-016",'Control Library'!$R$5:$R$50,"Implemented")+COUNTIFS('Control Library'!$A$5:$A$50,"AI-CTRL-022",'Control Library'!$R$5:$R$50,"Implemented")</f>
        <v>0</v>
      </c>
      <c r="K703" s="43" t="str">
        <f aca="false">IF(I703=0,"No wiki control",IF(J703=I703,"Fully covered",IF(J703=0,"Not covered","Partly covered")))</f>
        <v>Not covered</v>
      </c>
      <c r="L703" s="9" t="s">
        <v>2330</v>
      </c>
    </row>
    <row r="704" customFormat="false" ht="46.25" hidden="false" customHeight="false" outlineLevel="0" collapsed="false">
      <c r="A704" s="53" t="s">
        <v>603</v>
      </c>
      <c r="B704" s="53" t="s">
        <v>598</v>
      </c>
      <c r="C704" s="5" t="s">
        <v>2415</v>
      </c>
      <c r="D704" s="6" t="s">
        <v>2416</v>
      </c>
      <c r="E704" s="6" t="s">
        <v>300</v>
      </c>
      <c r="F704" s="6" t="s">
        <v>730</v>
      </c>
      <c r="G704" s="6" t="s">
        <v>303</v>
      </c>
      <c r="H704" s="6" t="s">
        <v>642</v>
      </c>
      <c r="I704" s="26" t="n">
        <v>1</v>
      </c>
      <c r="J704" s="26" t="n">
        <f aca="false">COUNTIFS('Control Library'!$A$5:$A$50,"AI-CTRL-016",'Control Library'!$R$5:$R$50,"Implemented")</f>
        <v>0</v>
      </c>
      <c r="K704" s="43" t="str">
        <f aca="false">IF(I704=0,"No wiki control",IF(J704=I704,"Fully covered",IF(J704=0,"Not covered","Partly covered")))</f>
        <v>Not covered</v>
      </c>
      <c r="L704" s="9" t="s">
        <v>2330</v>
      </c>
    </row>
    <row r="705" customFormat="false" ht="35.05" hidden="false" customHeight="false" outlineLevel="0" collapsed="false">
      <c r="A705" s="53" t="s">
        <v>603</v>
      </c>
      <c r="B705" s="53" t="s">
        <v>598</v>
      </c>
      <c r="C705" s="5" t="s">
        <v>2417</v>
      </c>
      <c r="D705" s="6" t="s">
        <v>2418</v>
      </c>
      <c r="E705" s="6" t="s">
        <v>759</v>
      </c>
      <c r="F705" s="6" t="s">
        <v>730</v>
      </c>
      <c r="G705" s="6" t="s">
        <v>760</v>
      </c>
      <c r="H705" s="6" t="s">
        <v>642</v>
      </c>
      <c r="I705" s="26" t="n">
        <v>2</v>
      </c>
      <c r="J705" s="26" t="n">
        <f aca="false">COUNTIFS('Control Library'!$A$5:$A$50,"AI-CTRL-033",'Control Library'!$R$5:$R$50,"Implemented")+COUNTIFS('Control Library'!$A$5:$A$50,"AI-CTRL-034",'Control Library'!$R$5:$R$50,"Implemented")</f>
        <v>0</v>
      </c>
      <c r="K705" s="43" t="str">
        <f aca="false">IF(I705=0,"No wiki control",IF(J705=I705,"Fully covered",IF(J705=0,"Not covered","Partly covered")))</f>
        <v>Not covered</v>
      </c>
      <c r="L705" s="9" t="s">
        <v>2330</v>
      </c>
    </row>
    <row r="706" customFormat="false" ht="46.25" hidden="false" customHeight="false" outlineLevel="0" collapsed="false">
      <c r="A706" s="53" t="s">
        <v>603</v>
      </c>
      <c r="B706" s="53" t="s">
        <v>598</v>
      </c>
      <c r="C706" s="5" t="s">
        <v>2419</v>
      </c>
      <c r="D706" s="6" t="s">
        <v>2420</v>
      </c>
      <c r="E706" s="6" t="s">
        <v>2421</v>
      </c>
      <c r="F706" s="6" t="s">
        <v>730</v>
      </c>
      <c r="G706" s="6" t="s">
        <v>2422</v>
      </c>
      <c r="H706" s="6" t="s">
        <v>642</v>
      </c>
      <c r="I706" s="26" t="n">
        <v>2</v>
      </c>
      <c r="J706" s="26" t="n">
        <f aca="false">COUNTIFS('Control Library'!$A$5:$A$50,"AI-CTRL-016",'Control Library'!$R$5:$R$50,"Implemented")+COUNTIFS('Control Library'!$A$5:$A$50,"AI-CTRL-017",'Control Library'!$R$5:$R$50,"Implemented")</f>
        <v>0</v>
      </c>
      <c r="K706" s="43" t="str">
        <f aca="false">IF(I706=0,"No wiki control",IF(J706=I706,"Fully covered",IF(J706=0,"Not covered","Partly covered")))</f>
        <v>Not covered</v>
      </c>
      <c r="L706" s="9" t="s">
        <v>2330</v>
      </c>
    </row>
    <row r="707" customFormat="false" ht="35.05" hidden="false" customHeight="false" outlineLevel="0" collapsed="false">
      <c r="A707" s="53" t="s">
        <v>603</v>
      </c>
      <c r="B707" s="53" t="s">
        <v>598</v>
      </c>
      <c r="C707" s="5" t="s">
        <v>2423</v>
      </c>
      <c r="D707" s="6" t="s">
        <v>2424</v>
      </c>
      <c r="E707" s="6" t="s">
        <v>1975</v>
      </c>
      <c r="F707" s="6" t="s">
        <v>730</v>
      </c>
      <c r="G707" s="6" t="s">
        <v>1976</v>
      </c>
      <c r="H707" s="6" t="s">
        <v>642</v>
      </c>
      <c r="I707" s="26" t="n">
        <v>3</v>
      </c>
      <c r="J707" s="26" t="n">
        <f aca="false">COUNTIFS('Control Library'!$A$5:$A$50,"AI-CTRL-023",'Control Library'!$R$5:$R$50,"Implemented")+COUNTIFS('Control Library'!$A$5:$A$50,"AI-CTRL-025",'Control Library'!$R$5:$R$50,"Implemented")+COUNTIFS('Control Library'!$A$5:$A$50,"AI-CTRL-045",'Control Library'!$R$5:$R$50,"Implemented")</f>
        <v>0</v>
      </c>
      <c r="K707" s="43" t="str">
        <f aca="false">IF(I707=0,"No wiki control",IF(J707=I707,"Fully covered",IF(J707=0,"Not covered","Partly covered")))</f>
        <v>Not covered</v>
      </c>
      <c r="L707" s="9" t="s">
        <v>2330</v>
      </c>
    </row>
    <row r="708" customFormat="false" ht="35.05" hidden="false" customHeight="false" outlineLevel="0" collapsed="false">
      <c r="A708" s="53" t="s">
        <v>603</v>
      </c>
      <c r="B708" s="53" t="s">
        <v>598</v>
      </c>
      <c r="C708" s="5" t="s">
        <v>2425</v>
      </c>
      <c r="D708" s="6" t="s">
        <v>2426</v>
      </c>
      <c r="E708" s="6" t="s">
        <v>2427</v>
      </c>
      <c r="F708" s="6" t="s">
        <v>730</v>
      </c>
      <c r="G708" s="6" t="s">
        <v>1563</v>
      </c>
      <c r="H708" s="6" t="s">
        <v>642</v>
      </c>
      <c r="I708" s="26" t="n">
        <v>2</v>
      </c>
      <c r="J708" s="26" t="n">
        <f aca="false">COUNTIFS('Control Library'!$A$5:$A$50,"AI-CTRL-017",'Control Library'!$R$5:$R$50,"Implemented")+COUNTIFS('Control Library'!$A$5:$A$50,"AI-CTRL-020",'Control Library'!$R$5:$R$50,"Implemented")</f>
        <v>0</v>
      </c>
      <c r="K708" s="43" t="str">
        <f aca="false">IF(I708=0,"No wiki control",IF(J708=I708,"Fully covered",IF(J708=0,"Not covered","Partly covered")))</f>
        <v>Not covered</v>
      </c>
      <c r="L708" s="9" t="s">
        <v>2330</v>
      </c>
    </row>
    <row r="709" customFormat="false" ht="35.05" hidden="false" customHeight="false" outlineLevel="0" collapsed="false">
      <c r="A709" s="53" t="s">
        <v>603</v>
      </c>
      <c r="B709" s="53" t="s">
        <v>598</v>
      </c>
      <c r="C709" s="5" t="s">
        <v>2428</v>
      </c>
      <c r="D709" s="6" t="s">
        <v>2429</v>
      </c>
      <c r="E709" s="6" t="s">
        <v>2430</v>
      </c>
      <c r="F709" s="6" t="s">
        <v>730</v>
      </c>
      <c r="G709" s="6" t="s">
        <v>286</v>
      </c>
      <c r="H709" s="6" t="s">
        <v>642</v>
      </c>
      <c r="I709" s="26" t="n">
        <v>2</v>
      </c>
      <c r="J709" s="26" t="n">
        <f aca="false">COUNTIFS('Control Library'!$A$5:$A$50,"AI-CTRL-007",'Control Library'!$R$5:$R$50,"Implemented")+COUNTIFS('Control Library'!$A$5:$A$50,"AI-CTRL-014",'Control Library'!$R$5:$R$50,"Implemented")</f>
        <v>0</v>
      </c>
      <c r="K709" s="43" t="str">
        <f aca="false">IF(I709=0,"No wiki control",IF(J709=I709,"Fully covered",IF(J709=0,"Not covered","Partly covered")))</f>
        <v>Not covered</v>
      </c>
      <c r="L709" s="9" t="s">
        <v>2330</v>
      </c>
    </row>
    <row r="710" customFormat="false" ht="35.05" hidden="false" customHeight="false" outlineLevel="0" collapsed="false">
      <c r="A710" s="53" t="s">
        <v>603</v>
      </c>
      <c r="B710" s="53" t="s">
        <v>598</v>
      </c>
      <c r="C710" s="5" t="s">
        <v>2431</v>
      </c>
      <c r="D710" s="6" t="s">
        <v>2432</v>
      </c>
      <c r="E710" s="6" t="s">
        <v>1378</v>
      </c>
      <c r="F710" s="6" t="s">
        <v>730</v>
      </c>
      <c r="G710" s="6" t="s">
        <v>310</v>
      </c>
      <c r="H710" s="6" t="s">
        <v>657</v>
      </c>
      <c r="I710" s="26" t="n">
        <v>2</v>
      </c>
      <c r="J710" s="26" t="n">
        <f aca="false">COUNTIFS('Control Library'!$A$5:$A$50,"AI-CTRL-017",'Control Library'!$R$5:$R$50,"Implemented")+COUNTIFS('Control Library'!$A$5:$A$50,"AI-CTRL-018",'Control Library'!$R$5:$R$50,"Implemented")</f>
        <v>0</v>
      </c>
      <c r="K710" s="43" t="str">
        <f aca="false">IF(I710=0,"No wiki control",IF(J710=I710,"Fully covered",IF(J710=0,"Not covered","Partly covered")))</f>
        <v>Not covered</v>
      </c>
      <c r="L710" s="9" t="s">
        <v>2330</v>
      </c>
    </row>
    <row r="711" customFormat="false" ht="46.25" hidden="false" customHeight="false" outlineLevel="0" collapsed="false">
      <c r="A711" s="53" t="s">
        <v>603</v>
      </c>
      <c r="B711" s="53" t="s">
        <v>598</v>
      </c>
      <c r="C711" s="5" t="s">
        <v>2433</v>
      </c>
      <c r="D711" s="6" t="s">
        <v>2434</v>
      </c>
      <c r="E711" s="6" t="s">
        <v>2435</v>
      </c>
      <c r="F711" s="6" t="s">
        <v>730</v>
      </c>
      <c r="G711" s="6" t="s">
        <v>2436</v>
      </c>
      <c r="H711" s="6" t="s">
        <v>642</v>
      </c>
      <c r="I711" s="26" t="n">
        <v>4</v>
      </c>
      <c r="J711" s="26" t="n">
        <f aca="false">COUNTIFS('Control Library'!$A$5:$A$50,"AI-CTRL-015",'Control Library'!$R$5:$R$50,"Implemented")+COUNTIFS('Control Library'!$A$5:$A$50,"AI-CTRL-016",'Control Library'!$R$5:$R$50,"Implemented")+COUNTIFS('Control Library'!$A$5:$A$50,"AI-CTRL-017",'Control Library'!$R$5:$R$50,"Implemented")+COUNTIFS('Control Library'!$A$5:$A$50,"AI-CTRL-045",'Control Library'!$R$5:$R$50,"Implemented")</f>
        <v>0</v>
      </c>
      <c r="K711" s="43" t="str">
        <f aca="false">IF(I711=0,"No wiki control",IF(J711=I711,"Fully covered",IF(J711=0,"Not covered","Partly covered")))</f>
        <v>Not covered</v>
      </c>
      <c r="L711" s="9" t="s">
        <v>2330</v>
      </c>
    </row>
    <row r="712" customFormat="false" ht="23.85" hidden="false" customHeight="false" outlineLevel="0" collapsed="false">
      <c r="A712" s="53" t="s">
        <v>603</v>
      </c>
      <c r="B712" s="53" t="s">
        <v>598</v>
      </c>
      <c r="C712" s="5" t="s">
        <v>2437</v>
      </c>
      <c r="D712" s="6" t="s">
        <v>2438</v>
      </c>
      <c r="E712" s="6" t="s">
        <v>2439</v>
      </c>
      <c r="F712" s="6" t="s">
        <v>730</v>
      </c>
      <c r="G712" s="6" t="s">
        <v>2198</v>
      </c>
      <c r="H712" s="6" t="s">
        <v>642</v>
      </c>
      <c r="I712" s="26" t="n">
        <v>2</v>
      </c>
      <c r="J712" s="26" t="n">
        <f aca="false">COUNTIFS('Control Library'!$A$5:$A$50,"AI-CTRL-025",'Control Library'!$R$5:$R$50,"Implemented")+COUNTIFS('Control Library'!$A$5:$A$50,"AI-CTRL-027",'Control Library'!$R$5:$R$50,"Implemented")</f>
        <v>0</v>
      </c>
      <c r="K712" s="43" t="str">
        <f aca="false">IF(I712=0,"No wiki control",IF(J712=I712,"Fully covered",IF(J712=0,"Not covered","Partly covered")))</f>
        <v>Not covered</v>
      </c>
      <c r="L712" s="9" t="s">
        <v>2330</v>
      </c>
    </row>
    <row r="713" customFormat="false" ht="35.05" hidden="false" customHeight="false" outlineLevel="0" collapsed="false">
      <c r="A713" s="53" t="s">
        <v>603</v>
      </c>
      <c r="B713" s="53" t="s">
        <v>598</v>
      </c>
      <c r="C713" s="5" t="s">
        <v>2440</v>
      </c>
      <c r="D713" s="6" t="s">
        <v>2441</v>
      </c>
      <c r="E713" s="6" t="s">
        <v>2442</v>
      </c>
      <c r="F713" s="6" t="s">
        <v>730</v>
      </c>
      <c r="G713" s="6" t="s">
        <v>2443</v>
      </c>
      <c r="H713" s="6" t="s">
        <v>657</v>
      </c>
      <c r="I713" s="26" t="n">
        <v>3</v>
      </c>
      <c r="J713" s="26" t="n">
        <f aca="false">COUNTIFS('Control Library'!$A$5:$A$50,"AI-CTRL-006",'Control Library'!$R$5:$R$50,"Implemented")+COUNTIFS('Control Library'!$A$5:$A$50,"AI-CTRL-015",'Control Library'!$R$5:$R$50,"Implemented")+COUNTIFS('Control Library'!$A$5:$A$50,"AI-CTRL-022",'Control Library'!$R$5:$R$50,"Implemented")</f>
        <v>0</v>
      </c>
      <c r="K713" s="43" t="str">
        <f aca="false">IF(I713=0,"No wiki control",IF(J713=I713,"Fully covered",IF(J713=0,"Not covered","Partly covered")))</f>
        <v>Not covered</v>
      </c>
      <c r="L713" s="9" t="s">
        <v>2330</v>
      </c>
    </row>
    <row r="714" customFormat="false" ht="46.25" hidden="false" customHeight="false" outlineLevel="0" collapsed="false">
      <c r="A714" s="53" t="s">
        <v>603</v>
      </c>
      <c r="B714" s="53" t="s">
        <v>598</v>
      </c>
      <c r="C714" s="5" t="s">
        <v>2444</v>
      </c>
      <c r="D714" s="6" t="s">
        <v>2445</v>
      </c>
      <c r="E714" s="6" t="s">
        <v>2446</v>
      </c>
      <c r="F714" s="6" t="s">
        <v>730</v>
      </c>
      <c r="G714" s="6" t="s">
        <v>2447</v>
      </c>
      <c r="H714" s="6" t="s">
        <v>642</v>
      </c>
      <c r="I714" s="26" t="n">
        <v>3</v>
      </c>
      <c r="J714" s="26" t="n">
        <f aca="false">COUNTIFS('Control Library'!$A$5:$A$50,"AI-CTRL-020",'Control Library'!$R$5:$R$50,"Implemented")+COUNTIFS('Control Library'!$A$5:$A$50,"AI-CTRL-039",'Control Library'!$R$5:$R$50,"Implemented")+COUNTIFS('Control Library'!$A$5:$A$50,"AI-CTRL-045",'Control Library'!$R$5:$R$50,"Implemented")</f>
        <v>0</v>
      </c>
      <c r="K714" s="43" t="str">
        <f aca="false">IF(I714=0,"No wiki control",IF(J714=I714,"Fully covered",IF(J714=0,"Not covered","Partly covered")))</f>
        <v>Not covered</v>
      </c>
      <c r="L714" s="9" t="s">
        <v>2330</v>
      </c>
    </row>
    <row r="715" customFormat="false" ht="35.05" hidden="false" customHeight="false" outlineLevel="0" collapsed="false">
      <c r="A715" s="53" t="s">
        <v>603</v>
      </c>
      <c r="B715" s="53" t="s">
        <v>598</v>
      </c>
      <c r="C715" s="5" t="s">
        <v>2448</v>
      </c>
      <c r="D715" s="6" t="s">
        <v>2449</v>
      </c>
      <c r="E715" s="6" t="s">
        <v>2450</v>
      </c>
      <c r="F715" s="6" t="s">
        <v>730</v>
      </c>
      <c r="G715" s="6" t="s">
        <v>2451</v>
      </c>
      <c r="H715" s="6" t="s">
        <v>642</v>
      </c>
      <c r="I715" s="26" t="n">
        <v>2</v>
      </c>
      <c r="J715" s="26" t="n">
        <f aca="false">COUNTIFS('Control Library'!$A$5:$A$50,"AI-CTRL-011",'Control Library'!$R$5:$R$50,"Implemented")+COUNTIFS('Control Library'!$A$5:$A$50,"AI-CTRL-033",'Control Library'!$R$5:$R$50,"Implemented")</f>
        <v>0</v>
      </c>
      <c r="K715" s="43" t="str">
        <f aca="false">IF(I715=0,"No wiki control",IF(J715=I715,"Fully covered",IF(J715=0,"Not covered","Partly covered")))</f>
        <v>Not covered</v>
      </c>
      <c r="L715" s="9" t="s">
        <v>2330</v>
      </c>
    </row>
    <row r="716" customFormat="false" ht="35.05" hidden="false" customHeight="false" outlineLevel="0" collapsed="false">
      <c r="A716" s="53" t="s">
        <v>603</v>
      </c>
      <c r="B716" s="53" t="s">
        <v>598</v>
      </c>
      <c r="C716" s="5" t="s">
        <v>2452</v>
      </c>
      <c r="D716" s="6" t="s">
        <v>2453</v>
      </c>
      <c r="E716" s="6" t="s">
        <v>1878</v>
      </c>
      <c r="F716" s="6" t="s">
        <v>730</v>
      </c>
      <c r="G716" s="6" t="s">
        <v>251</v>
      </c>
      <c r="H716" s="6" t="s">
        <v>642</v>
      </c>
      <c r="I716" s="26" t="n">
        <v>2</v>
      </c>
      <c r="J716" s="26" t="n">
        <f aca="false">COUNTIFS('Control Library'!$A$5:$A$50,"AI-CTRL-001",'Control Library'!$R$5:$R$50,"Implemented")+COUNTIFS('Control Library'!$A$5:$A$50,"AI-CTRL-010",'Control Library'!$R$5:$R$50,"Implemented")</f>
        <v>0</v>
      </c>
      <c r="K716" s="43" t="str">
        <f aca="false">IF(I716=0,"No wiki control",IF(J716=I716,"Fully covered",IF(J716=0,"Not covered","Partly covered")))</f>
        <v>Not covered</v>
      </c>
      <c r="L716" s="9" t="s">
        <v>2330</v>
      </c>
    </row>
    <row r="717" customFormat="false" ht="23.85" hidden="false" customHeight="false" outlineLevel="0" collapsed="false">
      <c r="A717" s="53" t="s">
        <v>603</v>
      </c>
      <c r="B717" s="53" t="s">
        <v>598</v>
      </c>
      <c r="C717" s="5" t="s">
        <v>2454</v>
      </c>
      <c r="D717" s="6" t="s">
        <v>2455</v>
      </c>
      <c r="E717" s="6" t="s">
        <v>444</v>
      </c>
      <c r="F717" s="6" t="s">
        <v>730</v>
      </c>
      <c r="G717" s="6" t="s">
        <v>447</v>
      </c>
      <c r="H717" s="6" t="s">
        <v>642</v>
      </c>
      <c r="I717" s="26" t="n">
        <v>1</v>
      </c>
      <c r="J717" s="26" t="n">
        <f aca="false">COUNTIFS('Control Library'!$A$5:$A$50,"AI-CTRL-034",'Control Library'!$R$5:$R$50,"Implemented")</f>
        <v>0</v>
      </c>
      <c r="K717" s="43" t="str">
        <f aca="false">IF(I717=0,"No wiki control",IF(J717=I717,"Fully covered",IF(J717=0,"Not covered","Partly covered")))</f>
        <v>Not covered</v>
      </c>
      <c r="L717" s="9" t="s">
        <v>2330</v>
      </c>
    </row>
    <row r="718" customFormat="false" ht="23.85" hidden="false" customHeight="false" outlineLevel="0" collapsed="false">
      <c r="A718" s="55" t="s">
        <v>604</v>
      </c>
      <c r="B718" s="55" t="s">
        <v>605</v>
      </c>
      <c r="C718" s="5" t="s">
        <v>2456</v>
      </c>
      <c r="D718" s="6" t="s">
        <v>2457</v>
      </c>
      <c r="E718" s="6" t="s">
        <v>255</v>
      </c>
      <c r="F718" s="6" t="s">
        <v>730</v>
      </c>
      <c r="G718" s="6" t="s">
        <v>258</v>
      </c>
      <c r="H718" s="6" t="s">
        <v>1023</v>
      </c>
      <c r="I718" s="26" t="n">
        <v>1</v>
      </c>
      <c r="J718" s="26" t="n">
        <f aca="false">COUNTIFS('Control Library'!$A$5:$A$50,"AI-CTRL-011",'Control Library'!$R$5:$R$50,"Implemented")</f>
        <v>0</v>
      </c>
      <c r="K718" s="43" t="str">
        <f aca="false">IF(I718=0,"No wiki control",IF(J718=I718,"Fully covered",IF(J718=0,"Not covered","Partly covered")))</f>
        <v>Not covered</v>
      </c>
      <c r="L718" s="9" t="s">
        <v>2458</v>
      </c>
    </row>
    <row r="719" customFormat="false" ht="35.05" hidden="false" customHeight="false" outlineLevel="0" collapsed="false">
      <c r="A719" s="55" t="s">
        <v>604</v>
      </c>
      <c r="B719" s="55" t="s">
        <v>605</v>
      </c>
      <c r="C719" s="5" t="s">
        <v>2459</v>
      </c>
      <c r="D719" s="6" t="s">
        <v>2460</v>
      </c>
      <c r="E719" s="6" t="s">
        <v>2461</v>
      </c>
      <c r="F719" s="6" t="s">
        <v>730</v>
      </c>
      <c r="G719" s="6" t="s">
        <v>2462</v>
      </c>
      <c r="H719" s="6" t="s">
        <v>657</v>
      </c>
      <c r="I719" s="26" t="n">
        <v>4</v>
      </c>
      <c r="J719" s="26" t="n">
        <f aca="false">COUNTIFS('Control Library'!$A$5:$A$50,"AI-CTRL-013",'Control Library'!$R$5:$R$50,"Implemented")+COUNTIFS('Control Library'!$A$5:$A$50,"AI-CTRL-041",'Control Library'!$R$5:$R$50,"Implemented")+COUNTIFS('Control Library'!$A$5:$A$50,"AI-CTRL-042",'Control Library'!$R$5:$R$50,"Implemented")+COUNTIFS('Control Library'!$A$5:$A$50,"AI-CTRL-045",'Control Library'!$R$5:$R$50,"Implemented")</f>
        <v>0</v>
      </c>
      <c r="K719" s="43" t="str">
        <f aca="false">IF(I719=0,"No wiki control",IF(J719=I719,"Fully covered",IF(J719=0,"Not covered","Partly covered")))</f>
        <v>Not covered</v>
      </c>
      <c r="L719" s="9" t="s">
        <v>2458</v>
      </c>
    </row>
    <row r="720" customFormat="false" ht="35.05" hidden="false" customHeight="false" outlineLevel="0" collapsed="false">
      <c r="A720" s="55" t="s">
        <v>604</v>
      </c>
      <c r="B720" s="55" t="s">
        <v>605</v>
      </c>
      <c r="C720" s="5" t="s">
        <v>2463</v>
      </c>
      <c r="D720" s="6" t="s">
        <v>2464</v>
      </c>
      <c r="E720" s="6" t="s">
        <v>2465</v>
      </c>
      <c r="F720" s="6" t="s">
        <v>730</v>
      </c>
      <c r="G720" s="6" t="s">
        <v>2466</v>
      </c>
      <c r="H720" s="6" t="s">
        <v>657</v>
      </c>
      <c r="I720" s="26" t="n">
        <v>3</v>
      </c>
      <c r="J720" s="26" t="n">
        <f aca="false">COUNTIFS('Control Library'!$A$5:$A$50,"AI-CTRL-013",'Control Library'!$R$5:$R$50,"Implemented")+COUNTIFS('Control Library'!$A$5:$A$50,"AI-CTRL-039",'Control Library'!$R$5:$R$50,"Implemented")+COUNTIFS('Control Library'!$A$5:$A$50,"AI-CTRL-041",'Control Library'!$R$5:$R$50,"Implemented")</f>
        <v>0</v>
      </c>
      <c r="K720" s="43" t="str">
        <f aca="false">IF(I720=0,"No wiki control",IF(J720=I720,"Fully covered",IF(J720=0,"Not covered","Partly covered")))</f>
        <v>Not covered</v>
      </c>
      <c r="L720" s="9" t="s">
        <v>2458</v>
      </c>
    </row>
    <row r="721" customFormat="false" ht="46.25" hidden="false" customHeight="false" outlineLevel="0" collapsed="false">
      <c r="A721" s="55" t="s">
        <v>604</v>
      </c>
      <c r="B721" s="55" t="s">
        <v>605</v>
      </c>
      <c r="C721" s="5" t="s">
        <v>2467</v>
      </c>
      <c r="D721" s="6" t="s">
        <v>2468</v>
      </c>
      <c r="E721" s="6" t="s">
        <v>2469</v>
      </c>
      <c r="F721" s="6" t="s">
        <v>730</v>
      </c>
      <c r="G721" s="6" t="s">
        <v>2470</v>
      </c>
      <c r="H721" s="6" t="s">
        <v>642</v>
      </c>
      <c r="I721" s="26" t="n">
        <v>5</v>
      </c>
      <c r="J721" s="26" t="n">
        <f aca="false">COUNTIFS('Control Library'!$A$5:$A$50,"AI-CTRL-005",'Control Library'!$R$5:$R$50,"Implemented")+COUNTIFS('Control Library'!$A$5:$A$50,"AI-CTRL-025",'Control Library'!$R$5:$R$50,"Implemented")+COUNTIFS('Control Library'!$A$5:$A$50,"AI-CTRL-028",'Control Library'!$R$5:$R$50,"Implemented")+COUNTIFS('Control Library'!$A$5:$A$50,"AI-CTRL-034",'Control Library'!$R$5:$R$50,"Implemented")+COUNTIFS('Control Library'!$A$5:$A$50,"AI-CTRL-040",'Control Library'!$R$5:$R$50,"Implemented")</f>
        <v>0</v>
      </c>
      <c r="K721" s="43" t="str">
        <f aca="false">IF(I721=0,"No wiki control",IF(J721=I721,"Fully covered",IF(J721=0,"Not covered","Partly covered")))</f>
        <v>Not covered</v>
      </c>
      <c r="L721" s="9" t="s">
        <v>2458</v>
      </c>
    </row>
    <row r="722" customFormat="false" ht="35.05" hidden="false" customHeight="false" outlineLevel="0" collapsed="false">
      <c r="A722" s="55" t="s">
        <v>604</v>
      </c>
      <c r="B722" s="55" t="s">
        <v>605</v>
      </c>
      <c r="C722" s="5" t="s">
        <v>2471</v>
      </c>
      <c r="D722" s="6" t="s">
        <v>2472</v>
      </c>
      <c r="E722" s="6" t="s">
        <v>2473</v>
      </c>
      <c r="F722" s="6" t="s">
        <v>730</v>
      </c>
      <c r="G722" s="6" t="s">
        <v>2474</v>
      </c>
      <c r="H722" s="6" t="s">
        <v>642</v>
      </c>
      <c r="I722" s="26" t="n">
        <v>5</v>
      </c>
      <c r="J722" s="26" t="n">
        <f aca="false">COUNTIFS('Control Library'!$A$5:$A$50,"AI-CTRL-008",'Control Library'!$R$5:$R$50,"Implemented")+COUNTIFS('Control Library'!$A$5:$A$50,"AI-CTRL-011",'Control Library'!$R$5:$R$50,"Implemented")+COUNTIFS('Control Library'!$A$5:$A$50,"AI-CTRL-012",'Control Library'!$R$5:$R$50,"Implemented")+COUNTIFS('Control Library'!$A$5:$A$50,"AI-CTRL-037",'Control Library'!$R$5:$R$50,"Implemented")+COUNTIFS('Control Library'!$A$5:$A$50,"AI-CTRL-038",'Control Library'!$R$5:$R$50,"Implemented")</f>
        <v>0</v>
      </c>
      <c r="K722" s="43" t="str">
        <f aca="false">IF(I722=0,"No wiki control",IF(J722=I722,"Fully covered",IF(J722=0,"Not covered","Partly covered")))</f>
        <v>Not covered</v>
      </c>
      <c r="L722" s="9" t="s">
        <v>2458</v>
      </c>
    </row>
    <row r="723" customFormat="false" ht="35.05" hidden="false" customHeight="false" outlineLevel="0" collapsed="false">
      <c r="A723" s="55" t="s">
        <v>606</v>
      </c>
      <c r="B723" s="55" t="s">
        <v>605</v>
      </c>
      <c r="C723" s="5" t="s">
        <v>2472</v>
      </c>
      <c r="D723" s="6" t="s">
        <v>2472</v>
      </c>
      <c r="E723" s="6" t="s">
        <v>2475</v>
      </c>
      <c r="F723" s="6" t="s">
        <v>730</v>
      </c>
      <c r="G723" s="6" t="s">
        <v>2474</v>
      </c>
      <c r="H723" s="6" t="s">
        <v>642</v>
      </c>
      <c r="I723" s="26" t="n">
        <v>4</v>
      </c>
      <c r="J723" s="26" t="n">
        <f aca="false">COUNTIFS('Control Library'!$A$5:$A$50,"AI-CTRL-008",'Control Library'!$R$5:$R$50,"Implemented")+COUNTIFS('Control Library'!$A$5:$A$50,"AI-CTRL-012",'Control Library'!$R$5:$R$50,"Implemented")+COUNTIFS('Control Library'!$A$5:$A$50,"AI-CTRL-037",'Control Library'!$R$5:$R$50,"Implemented")+COUNTIFS('Control Library'!$A$5:$A$50,"AI-CTRL-038",'Control Library'!$R$5:$R$50,"Implemented")</f>
        <v>0</v>
      </c>
      <c r="K723" s="43" t="str">
        <f aca="false">IF(I723=0,"No wiki control",IF(J723=I723,"Fully covered",IF(J723=0,"Not covered","Partly covered")))</f>
        <v>Not covered</v>
      </c>
      <c r="L723" s="9" t="s">
        <v>2476</v>
      </c>
    </row>
    <row r="724" customFormat="false" ht="35.05" hidden="false" customHeight="false" outlineLevel="0" collapsed="false">
      <c r="A724" s="55" t="s">
        <v>606</v>
      </c>
      <c r="B724" s="55" t="s">
        <v>605</v>
      </c>
      <c r="C724" s="5" t="s">
        <v>2477</v>
      </c>
      <c r="D724" s="6" t="s">
        <v>2477</v>
      </c>
      <c r="E724" s="6" t="s">
        <v>504</v>
      </c>
      <c r="F724" s="6" t="s">
        <v>730</v>
      </c>
      <c r="G724" s="6" t="s">
        <v>507</v>
      </c>
      <c r="H724" s="6" t="s">
        <v>657</v>
      </c>
      <c r="I724" s="26" t="n">
        <v>1</v>
      </c>
      <c r="J724" s="26" t="n">
        <f aca="false">COUNTIFS('Control Library'!$A$5:$A$50,"AI-CTRL-041",'Control Library'!$R$5:$R$50,"Implemented")</f>
        <v>0</v>
      </c>
      <c r="K724" s="43" t="str">
        <f aca="false">IF(I724=0,"No wiki control",IF(J724=I724,"Fully covered",IF(J724=0,"Not covered","Partly covered")))</f>
        <v>Not covered</v>
      </c>
      <c r="L724" s="9" t="s">
        <v>2476</v>
      </c>
    </row>
    <row r="725" customFormat="false" ht="35.05" hidden="false" customHeight="false" outlineLevel="0" collapsed="false">
      <c r="A725" s="55" t="s">
        <v>606</v>
      </c>
      <c r="B725" s="55" t="s">
        <v>605</v>
      </c>
      <c r="C725" s="5" t="s">
        <v>2478</v>
      </c>
      <c r="D725" s="6" t="s">
        <v>2478</v>
      </c>
      <c r="E725" s="6" t="s">
        <v>1975</v>
      </c>
      <c r="F725" s="6" t="s">
        <v>730</v>
      </c>
      <c r="G725" s="6" t="s">
        <v>1976</v>
      </c>
      <c r="H725" s="6" t="s">
        <v>642</v>
      </c>
      <c r="I725" s="26" t="n">
        <v>3</v>
      </c>
      <c r="J725" s="26" t="n">
        <f aca="false">COUNTIFS('Control Library'!$A$5:$A$50,"AI-CTRL-023",'Control Library'!$R$5:$R$50,"Implemented")+COUNTIFS('Control Library'!$A$5:$A$50,"AI-CTRL-025",'Control Library'!$R$5:$R$50,"Implemented")+COUNTIFS('Control Library'!$A$5:$A$50,"AI-CTRL-045",'Control Library'!$R$5:$R$50,"Implemented")</f>
        <v>0</v>
      </c>
      <c r="K725" s="43" t="str">
        <f aca="false">IF(I725=0,"No wiki control",IF(J725=I725,"Fully covered",IF(J725=0,"Not covered","Partly covered")))</f>
        <v>Not covered</v>
      </c>
      <c r="L725" s="9" t="s">
        <v>2476</v>
      </c>
    </row>
    <row r="726" customFormat="false" ht="35.05" hidden="false" customHeight="false" outlineLevel="0" collapsed="false">
      <c r="A726" s="55" t="s">
        <v>606</v>
      </c>
      <c r="B726" s="55" t="s">
        <v>605</v>
      </c>
      <c r="C726" s="5" t="s">
        <v>2479</v>
      </c>
      <c r="D726" s="6" t="s">
        <v>2479</v>
      </c>
      <c r="E726" s="6" t="s">
        <v>1957</v>
      </c>
      <c r="F726" s="6" t="s">
        <v>730</v>
      </c>
      <c r="G726" s="6" t="s">
        <v>1958</v>
      </c>
      <c r="H726" s="6" t="s">
        <v>642</v>
      </c>
      <c r="I726" s="26" t="n">
        <v>3</v>
      </c>
      <c r="J726" s="26" t="n">
        <f aca="false">COUNTIFS('Control Library'!$A$5:$A$50,"AI-CTRL-013",'Control Library'!$R$5:$R$50,"Implemented")+COUNTIFS('Control Library'!$A$5:$A$50,"AI-CTRL-017",'Control Library'!$R$5:$R$50,"Implemented")+COUNTIFS('Control Library'!$A$5:$A$50,"AI-CTRL-029",'Control Library'!$R$5:$R$50,"Implemented")</f>
        <v>0</v>
      </c>
      <c r="K726" s="43" t="str">
        <f aca="false">IF(I726=0,"No wiki control",IF(J726=I726,"Fully covered",IF(J726=0,"Not covered","Partly covered")))</f>
        <v>Not covered</v>
      </c>
      <c r="L726" s="9" t="s">
        <v>2476</v>
      </c>
    </row>
    <row r="727" customFormat="false" ht="35.05" hidden="false" customHeight="false" outlineLevel="0" collapsed="false">
      <c r="A727" s="55" t="s">
        <v>606</v>
      </c>
      <c r="B727" s="55" t="s">
        <v>605</v>
      </c>
      <c r="C727" s="5" t="s">
        <v>2480</v>
      </c>
      <c r="D727" s="6" t="s">
        <v>2480</v>
      </c>
      <c r="E727" s="6"/>
      <c r="F727" s="6" t="s">
        <v>640</v>
      </c>
      <c r="G727" s="6"/>
      <c r="H727" s="6" t="s">
        <v>1023</v>
      </c>
      <c r="I727" s="26" t="n">
        <v>0</v>
      </c>
      <c r="J727" s="26" t="n">
        <f aca="false">0</f>
        <v>0</v>
      </c>
      <c r="K727" s="43" t="str">
        <f aca="false">IF(I727=0,"No wiki control",IF(J727=I727,"Fully covered",IF(J727=0,"Not covered","Partly covered")))</f>
        <v>No wiki control</v>
      </c>
      <c r="L727" s="9" t="s">
        <v>2476</v>
      </c>
    </row>
    <row r="728" customFormat="false" ht="35.05" hidden="false" customHeight="false" outlineLevel="0" collapsed="false">
      <c r="A728" s="55" t="s">
        <v>606</v>
      </c>
      <c r="B728" s="55" t="s">
        <v>605</v>
      </c>
      <c r="C728" s="5" t="s">
        <v>2481</v>
      </c>
      <c r="D728" s="6" t="s">
        <v>2481</v>
      </c>
      <c r="E728" s="6" t="s">
        <v>2482</v>
      </c>
      <c r="F728" s="6" t="s">
        <v>730</v>
      </c>
      <c r="G728" s="6" t="s">
        <v>2483</v>
      </c>
      <c r="H728" s="6" t="s">
        <v>642</v>
      </c>
      <c r="I728" s="26" t="n">
        <v>4</v>
      </c>
      <c r="J728" s="26" t="n">
        <f aca="false">COUNTIFS('Control Library'!$A$5:$A$50,"AI-CTRL-005",'Control Library'!$R$5:$R$50,"Implemented")+COUNTIFS('Control Library'!$A$5:$A$50,"AI-CTRL-028",'Control Library'!$R$5:$R$50,"Implemented")+COUNTIFS('Control Library'!$A$5:$A$50,"AI-CTRL-034",'Control Library'!$R$5:$R$50,"Implemented")+COUNTIFS('Control Library'!$A$5:$A$50,"AI-CTRL-040",'Control Library'!$R$5:$R$50,"Implemented")</f>
        <v>0</v>
      </c>
      <c r="K728" s="43" t="str">
        <f aca="false">IF(I728=0,"No wiki control",IF(J728=I728,"Fully covered",IF(J728=0,"Not covered","Partly covered")))</f>
        <v>Not covered</v>
      </c>
      <c r="L728" s="9" t="s">
        <v>2476</v>
      </c>
    </row>
    <row r="729" customFormat="false" ht="23.85" hidden="false" customHeight="false" outlineLevel="0" collapsed="false">
      <c r="A729" s="55" t="s">
        <v>606</v>
      </c>
      <c r="B729" s="55" t="s">
        <v>605</v>
      </c>
      <c r="C729" s="5" t="s">
        <v>2484</v>
      </c>
      <c r="D729" s="6" t="s">
        <v>2484</v>
      </c>
      <c r="E729" s="6" t="s">
        <v>2485</v>
      </c>
      <c r="F729" s="6" t="s">
        <v>730</v>
      </c>
      <c r="G729" s="6" t="s">
        <v>1197</v>
      </c>
      <c r="H729" s="6" t="s">
        <v>657</v>
      </c>
      <c r="I729" s="26" t="n">
        <v>3</v>
      </c>
      <c r="J729" s="26" t="n">
        <f aca="false">COUNTIFS('Control Library'!$A$5:$A$50,"AI-CTRL-008",'Control Library'!$R$5:$R$50,"Implemented")+COUNTIFS('Control Library'!$A$5:$A$50,"AI-CTRL-039",'Control Library'!$R$5:$R$50,"Implemented")+COUNTIFS('Control Library'!$A$5:$A$50,"AI-CTRL-041",'Control Library'!$R$5:$R$50,"Implemented")</f>
        <v>0</v>
      </c>
      <c r="K729" s="43" t="str">
        <f aca="false">IF(I729=0,"No wiki control",IF(J729=I729,"Fully covered",IF(J729=0,"Not covered","Partly covered")))</f>
        <v>Not covered</v>
      </c>
      <c r="L729" s="9" t="s">
        <v>2476</v>
      </c>
    </row>
    <row r="730" customFormat="false" ht="23.85" hidden="false" customHeight="false" outlineLevel="0" collapsed="false">
      <c r="A730" s="55" t="s">
        <v>607</v>
      </c>
      <c r="B730" s="55" t="s">
        <v>605</v>
      </c>
      <c r="C730" s="5" t="s">
        <v>2486</v>
      </c>
      <c r="D730" s="6" t="s">
        <v>530</v>
      </c>
      <c r="E730" s="6" t="s">
        <v>530</v>
      </c>
      <c r="F730" s="6" t="s">
        <v>730</v>
      </c>
      <c r="G730" s="6" t="s">
        <v>533</v>
      </c>
      <c r="H730" s="6" t="s">
        <v>642</v>
      </c>
      <c r="I730" s="26" t="n">
        <v>1</v>
      </c>
      <c r="J730" s="26" t="n">
        <f aca="false">COUNTIFS('Control Library'!$A$5:$A$50,"AI-CTRL-044",'Control Library'!$R$5:$R$50,"Implemented")</f>
        <v>0</v>
      </c>
      <c r="K730" s="43" t="str">
        <f aca="false">IF(I730=0,"No wiki control",IF(J730=I730,"Fully covered",IF(J730=0,"Not covered","Partly covered")))</f>
        <v>Not covered</v>
      </c>
      <c r="L730" s="9" t="s">
        <v>2476</v>
      </c>
    </row>
    <row r="731" customFormat="false" ht="23.85" hidden="false" customHeight="false" outlineLevel="0" collapsed="false">
      <c r="A731" s="55" t="s">
        <v>607</v>
      </c>
      <c r="B731" s="55" t="s">
        <v>605</v>
      </c>
      <c r="C731" s="5" t="s">
        <v>2487</v>
      </c>
      <c r="D731" s="6" t="s">
        <v>504</v>
      </c>
      <c r="E731" s="6" t="s">
        <v>504</v>
      </c>
      <c r="F731" s="6" t="s">
        <v>730</v>
      </c>
      <c r="G731" s="6" t="s">
        <v>507</v>
      </c>
      <c r="H731" s="6" t="s">
        <v>657</v>
      </c>
      <c r="I731" s="26" t="n">
        <v>1</v>
      </c>
      <c r="J731" s="26" t="n">
        <f aca="false">COUNTIFS('Control Library'!$A$5:$A$50,"AI-CTRL-041",'Control Library'!$R$5:$R$50,"Implemented")</f>
        <v>0</v>
      </c>
      <c r="K731" s="43" t="str">
        <f aca="false">IF(I731=0,"No wiki control",IF(J731=I731,"Fully covered",IF(J731=0,"Not covered","Partly covered")))</f>
        <v>Not covered</v>
      </c>
      <c r="L731" s="9" t="s">
        <v>2476</v>
      </c>
    </row>
    <row r="732" customFormat="false" ht="23.85" hidden="false" customHeight="false" outlineLevel="0" collapsed="false">
      <c r="A732" s="55" t="s">
        <v>607</v>
      </c>
      <c r="B732" s="55" t="s">
        <v>605</v>
      </c>
      <c r="C732" s="5" t="s">
        <v>2488</v>
      </c>
      <c r="D732" s="6" t="s">
        <v>2489</v>
      </c>
      <c r="E732" s="6" t="s">
        <v>805</v>
      </c>
      <c r="F732" s="6" t="s">
        <v>730</v>
      </c>
      <c r="G732" s="6" t="s">
        <v>542</v>
      </c>
      <c r="H732" s="6" t="s">
        <v>642</v>
      </c>
      <c r="I732" s="26" t="n">
        <v>2</v>
      </c>
      <c r="J732" s="26" t="n">
        <f aca="false">COUNTIFS('Control Library'!$A$5:$A$50,"AI-CTRL-023",'Control Library'!$R$5:$R$50,"Implemented")+COUNTIFS('Control Library'!$A$5:$A$50,"AI-CTRL-045",'Control Library'!$R$5:$R$50,"Implemented")</f>
        <v>0</v>
      </c>
      <c r="K732" s="43" t="str">
        <f aca="false">IF(I732=0,"No wiki control",IF(J732=I732,"Fully covered",IF(J732=0,"Not covered","Partly covered")))</f>
        <v>Not covered</v>
      </c>
      <c r="L732" s="9" t="s">
        <v>2476</v>
      </c>
    </row>
    <row r="733" customFormat="false" ht="35.05" hidden="false" customHeight="false" outlineLevel="0" collapsed="false">
      <c r="A733" s="55" t="s">
        <v>607</v>
      </c>
      <c r="B733" s="55" t="s">
        <v>605</v>
      </c>
      <c r="C733" s="5" t="s">
        <v>2490</v>
      </c>
      <c r="D733" s="6" t="s">
        <v>2491</v>
      </c>
      <c r="E733" s="6" t="s">
        <v>2491</v>
      </c>
      <c r="F733" s="6" t="s">
        <v>730</v>
      </c>
      <c r="G733" s="6" t="s">
        <v>2492</v>
      </c>
      <c r="H733" s="6" t="s">
        <v>657</v>
      </c>
      <c r="I733" s="26" t="n">
        <v>2</v>
      </c>
      <c r="J733" s="26" t="n">
        <f aca="false">COUNTIFS('Control Library'!$A$5:$A$50,"AI-CTRL-012",'Control Library'!$R$5:$R$50,"Implemented")+COUNTIFS('Control Library'!$A$5:$A$50,"AI-CTRL-043",'Control Library'!$R$5:$R$50,"Implemented")</f>
        <v>0</v>
      </c>
      <c r="K733" s="43" t="str">
        <f aca="false">IF(I733=0,"No wiki control",IF(J733=I733,"Fully covered",IF(J733=0,"Not covered","Partly covered")))</f>
        <v>Not covered</v>
      </c>
      <c r="L733" s="9" t="s">
        <v>2476</v>
      </c>
    </row>
    <row r="734" customFormat="false" ht="23.85" hidden="false" customHeight="false" outlineLevel="0" collapsed="false">
      <c r="A734" s="55" t="s">
        <v>607</v>
      </c>
      <c r="B734" s="55" t="s">
        <v>605</v>
      </c>
      <c r="C734" s="5" t="s">
        <v>2493</v>
      </c>
      <c r="D734" s="6" t="s">
        <v>2494</v>
      </c>
      <c r="E734" s="6" t="s">
        <v>2494</v>
      </c>
      <c r="F734" s="6" t="s">
        <v>730</v>
      </c>
      <c r="G734" s="6" t="s">
        <v>2179</v>
      </c>
      <c r="H734" s="6" t="s">
        <v>657</v>
      </c>
      <c r="I734" s="26" t="n">
        <v>2</v>
      </c>
      <c r="J734" s="26" t="n">
        <f aca="false">COUNTIFS('Control Library'!$A$5:$A$50,"AI-CTRL-037",'Control Library'!$R$5:$R$50,"Implemented")+COUNTIFS('Control Library'!$A$5:$A$50,"AI-CTRL-042",'Control Library'!$R$5:$R$50,"Implemented")</f>
        <v>0</v>
      </c>
      <c r="K734" s="43" t="str">
        <f aca="false">IF(I734=0,"No wiki control",IF(J734=I734,"Fully covered",IF(J734=0,"Not covered","Partly covered")))</f>
        <v>Not covered</v>
      </c>
      <c r="L734" s="9" t="s">
        <v>2476</v>
      </c>
    </row>
    <row r="735" customFormat="false" ht="35.05" hidden="false" customHeight="false" outlineLevel="0" collapsed="false">
      <c r="A735" s="55" t="s">
        <v>607</v>
      </c>
      <c r="B735" s="55" t="s">
        <v>605</v>
      </c>
      <c r="C735" s="5" t="s">
        <v>2495</v>
      </c>
      <c r="D735" s="6" t="s">
        <v>2496</v>
      </c>
      <c r="E735" s="6" t="s">
        <v>2496</v>
      </c>
      <c r="F735" s="6" t="s">
        <v>730</v>
      </c>
      <c r="G735" s="6" t="s">
        <v>2497</v>
      </c>
      <c r="H735" s="6" t="s">
        <v>642</v>
      </c>
      <c r="I735" s="26" t="n">
        <v>2</v>
      </c>
      <c r="J735" s="26" t="n">
        <f aca="false">COUNTIFS('Control Library'!$A$5:$A$50,"AI-CTRL-012",'Control Library'!$R$5:$R$50,"Implemented")+COUNTIFS('Control Library'!$A$5:$A$50,"AI-CTRL-038",'Control Library'!$R$5:$R$50,"Implemented")</f>
        <v>0</v>
      </c>
      <c r="K735" s="43" t="str">
        <f aca="false">IF(I735=0,"No wiki control",IF(J735=I735,"Fully covered",IF(J735=0,"Not covered","Partly covered")))</f>
        <v>Not covered</v>
      </c>
      <c r="L735" s="9" t="s">
        <v>2476</v>
      </c>
    </row>
    <row r="736" customFormat="false" ht="23.85" hidden="false" customHeight="false" outlineLevel="0" collapsed="false">
      <c r="A736" s="55" t="s">
        <v>607</v>
      </c>
      <c r="B736" s="55" t="s">
        <v>605</v>
      </c>
      <c r="C736" s="5" t="s">
        <v>2498</v>
      </c>
      <c r="D736" s="6" t="s">
        <v>1968</v>
      </c>
      <c r="E736" s="6" t="s">
        <v>1968</v>
      </c>
      <c r="F736" s="6" t="s">
        <v>730</v>
      </c>
      <c r="G736" s="6" t="s">
        <v>1844</v>
      </c>
      <c r="H736" s="6" t="s">
        <v>642</v>
      </c>
      <c r="I736" s="26" t="n">
        <v>2</v>
      </c>
      <c r="J736" s="26" t="n">
        <f aca="false">COUNTIFS('Control Library'!$A$5:$A$50,"AI-CTRL-013",'Control Library'!$R$5:$R$50,"Implemented")+COUNTIFS('Control Library'!$A$5:$A$50,"AI-CTRL-017",'Control Library'!$R$5:$R$50,"Implemented")</f>
        <v>0</v>
      </c>
      <c r="K736" s="43" t="str">
        <f aca="false">IF(I736=0,"No wiki control",IF(J736=I736,"Fully covered",IF(J736=0,"Not covered","Partly covered")))</f>
        <v>Not covered</v>
      </c>
      <c r="L736" s="9" t="s">
        <v>2476</v>
      </c>
    </row>
    <row r="737" customFormat="false" ht="35.05" hidden="false" customHeight="false" outlineLevel="0" collapsed="false">
      <c r="A737" s="55" t="s">
        <v>607</v>
      </c>
      <c r="B737" s="55" t="s">
        <v>605</v>
      </c>
      <c r="C737" s="5" t="s">
        <v>2499</v>
      </c>
      <c r="D737" s="6" t="s">
        <v>2500</v>
      </c>
      <c r="E737" s="6" t="s">
        <v>2500</v>
      </c>
      <c r="F737" s="6" t="s">
        <v>730</v>
      </c>
      <c r="G737" s="6" t="s">
        <v>2501</v>
      </c>
      <c r="H737" s="6" t="s">
        <v>642</v>
      </c>
      <c r="I737" s="26" t="n">
        <v>3</v>
      </c>
      <c r="J737" s="26" t="n">
        <f aca="false">COUNTIFS('Control Library'!$A$5:$A$50,"AI-CTRL-005",'Control Library'!$R$5:$R$50,"Implemented")+COUNTIFS('Control Library'!$A$5:$A$50,"AI-CTRL-034",'Control Library'!$R$5:$R$50,"Implemented")+COUNTIFS('Control Library'!$A$5:$A$50,"AI-CTRL-040",'Control Library'!$R$5:$R$50,"Implemented")</f>
        <v>0</v>
      </c>
      <c r="K737" s="43" t="str">
        <f aca="false">IF(I737=0,"No wiki control",IF(J737=I737,"Fully covered",IF(J737=0,"Not covered","Partly covered")))</f>
        <v>Not covered</v>
      </c>
      <c r="L737" s="9" t="s">
        <v>2476</v>
      </c>
    </row>
    <row r="738" customFormat="false" ht="23.85" hidden="false" customHeight="false" outlineLevel="0" collapsed="false">
      <c r="A738" s="55" t="s">
        <v>607</v>
      </c>
      <c r="B738" s="55" t="s">
        <v>605</v>
      </c>
      <c r="C738" s="5" t="s">
        <v>2502</v>
      </c>
      <c r="D738" s="6" t="s">
        <v>1023</v>
      </c>
      <c r="E738" s="6"/>
      <c r="F738" s="6" t="s">
        <v>640</v>
      </c>
      <c r="G738" s="6"/>
      <c r="H738" s="6" t="s">
        <v>1023</v>
      </c>
      <c r="I738" s="26" t="n">
        <v>0</v>
      </c>
      <c r="J738" s="26" t="n">
        <f aca="false">0</f>
        <v>0</v>
      </c>
      <c r="K738" s="43" t="str">
        <f aca="false">IF(I738=0,"No wiki control",IF(J738=I738,"Fully covered",IF(J738=0,"Not covered","Partly covered")))</f>
        <v>No wiki control</v>
      </c>
      <c r="L738" s="9" t="s">
        <v>2476</v>
      </c>
    </row>
    <row r="739" customFormat="false" ht="23.85" hidden="false" customHeight="false" outlineLevel="0" collapsed="false">
      <c r="A739" s="55" t="s">
        <v>607</v>
      </c>
      <c r="B739" s="55" t="s">
        <v>605</v>
      </c>
      <c r="C739" s="5" t="s">
        <v>2464</v>
      </c>
      <c r="D739" s="6" t="s">
        <v>1658</v>
      </c>
      <c r="E739" s="6" t="s">
        <v>1658</v>
      </c>
      <c r="F739" s="6" t="s">
        <v>730</v>
      </c>
      <c r="G739" s="6" t="s">
        <v>1659</v>
      </c>
      <c r="H739" s="6" t="s">
        <v>657</v>
      </c>
      <c r="I739" s="26" t="n">
        <v>2</v>
      </c>
      <c r="J739" s="26" t="n">
        <f aca="false">COUNTIFS('Control Library'!$A$5:$A$50,"AI-CTRL-039",'Control Library'!$R$5:$R$50,"Implemented")+COUNTIFS('Control Library'!$A$5:$A$50,"AI-CTRL-041",'Control Library'!$R$5:$R$50,"Implemented")</f>
        <v>0</v>
      </c>
      <c r="K739" s="43" t="str">
        <f aca="false">IF(I739=0,"No wiki control",IF(J739=I739,"Fully covered",IF(J739=0,"Not covered","Partly covered")))</f>
        <v>Not covered</v>
      </c>
      <c r="L739" s="9" t="s">
        <v>2476</v>
      </c>
    </row>
    <row r="740" customFormat="false" ht="46.25" hidden="false" customHeight="false" outlineLevel="0" collapsed="false">
      <c r="A740" s="55" t="s">
        <v>608</v>
      </c>
      <c r="B740" s="55" t="s">
        <v>605</v>
      </c>
      <c r="C740" s="5" t="s">
        <v>2503</v>
      </c>
      <c r="D740" s="6" t="s">
        <v>2504</v>
      </c>
      <c r="E740" s="6" t="s">
        <v>2505</v>
      </c>
      <c r="F740" s="6" t="s">
        <v>730</v>
      </c>
      <c r="G740" s="6" t="s">
        <v>2506</v>
      </c>
      <c r="H740" s="6" t="s">
        <v>2507</v>
      </c>
      <c r="I740" s="26" t="n">
        <v>2</v>
      </c>
      <c r="J740" s="26" t="n">
        <f aca="false">COUNTIFS('Control Library'!$A$5:$A$50,"AI-CTRL-033",'Control Library'!$R$5:$R$50,"Implemented")+COUNTIFS('Control Library'!$A$5:$A$50,"AI-CTRL-042",'Control Library'!$R$5:$R$50,"Implemented")</f>
        <v>0</v>
      </c>
      <c r="K740" s="43" t="str">
        <f aca="false">IF(I740=0,"No wiki control",IF(J740=I740,"Fully covered",IF(J740=0,"Not covered","Partly covered")))</f>
        <v>Not covered</v>
      </c>
      <c r="L740" s="9" t="s">
        <v>2476</v>
      </c>
    </row>
    <row r="741" customFormat="false" ht="135.8" hidden="false" customHeight="false" outlineLevel="0" collapsed="false">
      <c r="A741" s="55" t="s">
        <v>608</v>
      </c>
      <c r="B741" s="55" t="s">
        <v>605</v>
      </c>
      <c r="C741" s="5" t="s">
        <v>2508</v>
      </c>
      <c r="D741" s="6" t="s">
        <v>2509</v>
      </c>
      <c r="E741" s="6" t="s">
        <v>2510</v>
      </c>
      <c r="F741" s="6" t="s">
        <v>730</v>
      </c>
      <c r="G741" s="6" t="s">
        <v>1197</v>
      </c>
      <c r="H741" s="6" t="s">
        <v>2511</v>
      </c>
      <c r="I741" s="26" t="n">
        <v>4</v>
      </c>
      <c r="J741" s="26" t="n">
        <f aca="false">COUNTIFS('Control Library'!$A$5:$A$50,"AI-CTRL-008",'Control Library'!$R$5:$R$50,"Implemented")+COUNTIFS('Control Library'!$A$5:$A$50,"AI-CTRL-035",'Control Library'!$R$5:$R$50,"Implemented")+COUNTIFS('Control Library'!$A$5:$A$50,"AI-CTRL-039",'Control Library'!$R$5:$R$50,"Implemented")+COUNTIFS('Control Library'!$A$5:$A$50,"AI-CTRL-041",'Control Library'!$R$5:$R$50,"Implemented")</f>
        <v>0</v>
      </c>
      <c r="K741" s="43" t="str">
        <f aca="false">IF(I741=0,"No wiki control",IF(J741=I741,"Fully covered",IF(J741=0,"Not covered","Partly covered")))</f>
        <v>Not covered</v>
      </c>
      <c r="L741" s="9" t="s">
        <v>2476</v>
      </c>
    </row>
    <row r="742" customFormat="false" ht="35.05" hidden="false" customHeight="false" outlineLevel="0" collapsed="false">
      <c r="A742" s="55" t="s">
        <v>608</v>
      </c>
      <c r="B742" s="55" t="s">
        <v>605</v>
      </c>
      <c r="C742" s="5" t="s">
        <v>2512</v>
      </c>
      <c r="D742" s="6" t="s">
        <v>2513</v>
      </c>
      <c r="E742" s="6" t="s">
        <v>2514</v>
      </c>
      <c r="F742" s="6" t="s">
        <v>730</v>
      </c>
      <c r="G742" s="6" t="s">
        <v>2515</v>
      </c>
      <c r="H742" s="6" t="s">
        <v>657</v>
      </c>
      <c r="I742" s="26" t="n">
        <v>3</v>
      </c>
      <c r="J742" s="26" t="n">
        <f aca="false">COUNTIFS('Control Library'!$A$5:$A$50,"AI-CTRL-013",'Control Library'!$R$5:$R$50,"Implemented")+COUNTIFS('Control Library'!$A$5:$A$50,"AI-CTRL-017",'Control Library'!$R$5:$R$50,"Implemented")+COUNTIFS('Control Library'!$A$5:$A$50,"AI-CTRL-042",'Control Library'!$R$5:$R$50,"Implemented")</f>
        <v>0</v>
      </c>
      <c r="K742" s="43" t="str">
        <f aca="false">IF(I742=0,"No wiki control",IF(J742=I742,"Fully covered",IF(J742=0,"Not covered","Partly covered")))</f>
        <v>Not covered</v>
      </c>
      <c r="L742" s="9" t="s">
        <v>2476</v>
      </c>
    </row>
    <row r="743" customFormat="false" ht="46.25" hidden="false" customHeight="false" outlineLevel="0" collapsed="false">
      <c r="A743" s="55" t="s">
        <v>608</v>
      </c>
      <c r="B743" s="55" t="s">
        <v>605</v>
      </c>
      <c r="C743" s="5" t="s">
        <v>2516</v>
      </c>
      <c r="D743" s="6" t="s">
        <v>2517</v>
      </c>
      <c r="E743" s="6" t="s">
        <v>504</v>
      </c>
      <c r="F743" s="6" t="s">
        <v>730</v>
      </c>
      <c r="G743" s="6" t="s">
        <v>507</v>
      </c>
      <c r="H743" s="6" t="s">
        <v>642</v>
      </c>
      <c r="I743" s="26" t="n">
        <v>1</v>
      </c>
      <c r="J743" s="26" t="n">
        <f aca="false">COUNTIFS('Control Library'!$A$5:$A$50,"AI-CTRL-041",'Control Library'!$R$5:$R$50,"Implemented")</f>
        <v>0</v>
      </c>
      <c r="K743" s="43" t="str">
        <f aca="false">IF(I743=0,"No wiki control",IF(J743=I743,"Fully covered",IF(J743=0,"Not covered","Partly covered")))</f>
        <v>Not covered</v>
      </c>
      <c r="L743" s="9" t="s">
        <v>2476</v>
      </c>
    </row>
    <row r="744" customFormat="false" ht="35.05" hidden="false" customHeight="false" outlineLevel="0" collapsed="false">
      <c r="A744" s="55" t="s">
        <v>608</v>
      </c>
      <c r="B744" s="55" t="s">
        <v>605</v>
      </c>
      <c r="C744" s="5" t="s">
        <v>2518</v>
      </c>
      <c r="D744" s="6" t="s">
        <v>2519</v>
      </c>
      <c r="E744" s="6"/>
      <c r="F744" s="6" t="s">
        <v>640</v>
      </c>
      <c r="G744" s="6"/>
      <c r="H744" s="6" t="s">
        <v>1023</v>
      </c>
      <c r="I744" s="26" t="n">
        <v>0</v>
      </c>
      <c r="J744" s="26" t="n">
        <f aca="false">0</f>
        <v>0</v>
      </c>
      <c r="K744" s="43" t="str">
        <f aca="false">IF(I744=0,"No wiki control",IF(J744=I744,"Fully covered",IF(J744=0,"Not covered","Partly covered")))</f>
        <v>No wiki control</v>
      </c>
      <c r="L744" s="9" t="s">
        <v>2476</v>
      </c>
    </row>
    <row r="745" customFormat="false" ht="23.85" hidden="false" customHeight="false" outlineLevel="0" collapsed="false">
      <c r="A745" s="39" t="s">
        <v>609</v>
      </c>
      <c r="B745" s="39" t="s">
        <v>610</v>
      </c>
      <c r="C745" s="5" t="s">
        <v>2520</v>
      </c>
      <c r="D745" s="6" t="s">
        <v>2521</v>
      </c>
      <c r="E745" s="6" t="s">
        <v>539</v>
      </c>
      <c r="F745" s="6" t="s">
        <v>730</v>
      </c>
      <c r="G745" s="6" t="s">
        <v>542</v>
      </c>
      <c r="H745" s="6"/>
      <c r="I745" s="26" t="n">
        <v>1</v>
      </c>
      <c r="J745" s="26" t="n">
        <f aca="false">COUNTIFS('Control Library'!$A$5:$A$50,"AI-CTRL-045",'Control Library'!$R$5:$R$50,"Implemented")</f>
        <v>0</v>
      </c>
      <c r="K745" s="43" t="str">
        <f aca="false">IF(I745=0,"No wiki control",IF(J745=I745,"Fully covered",IF(J745=0,"Not covered","Partly covered")))</f>
        <v>Not covered</v>
      </c>
      <c r="L745" s="9" t="s">
        <v>2522</v>
      </c>
    </row>
    <row r="746" customFormat="false" ht="23.85" hidden="false" customHeight="false" outlineLevel="0" collapsed="false">
      <c r="A746" s="39" t="s">
        <v>609</v>
      </c>
      <c r="B746" s="39" t="s">
        <v>610</v>
      </c>
      <c r="C746" s="5" t="s">
        <v>2523</v>
      </c>
      <c r="D746" s="6" t="s">
        <v>2524</v>
      </c>
      <c r="E746" s="6" t="s">
        <v>2525</v>
      </c>
      <c r="F746" s="6" t="s">
        <v>730</v>
      </c>
      <c r="G746" s="6" t="s">
        <v>2526</v>
      </c>
      <c r="H746" s="6"/>
      <c r="I746" s="26" t="n">
        <v>2</v>
      </c>
      <c r="J746" s="26" t="n">
        <f aca="false">COUNTIFS('Control Library'!$A$5:$A$50,"AI-CTRL-042",'Control Library'!$R$5:$R$50,"Implemented")+COUNTIFS('Control Library'!$A$5:$A$50,"AI-CTRL-045",'Control Library'!$R$5:$R$50,"Implemented")</f>
        <v>0</v>
      </c>
      <c r="K746" s="43" t="str">
        <f aca="false">IF(I746=0,"No wiki control",IF(J746=I746,"Fully covered",IF(J746=0,"Not covered","Partly covered")))</f>
        <v>Not covered</v>
      </c>
      <c r="L746" s="9" t="s">
        <v>2522</v>
      </c>
    </row>
    <row r="747" customFormat="false" ht="23.85" hidden="false" customHeight="false" outlineLevel="0" collapsed="false">
      <c r="A747" s="39" t="s">
        <v>609</v>
      </c>
      <c r="B747" s="39" t="s">
        <v>610</v>
      </c>
      <c r="C747" s="5" t="s">
        <v>2527</v>
      </c>
      <c r="D747" s="6" t="s">
        <v>2528</v>
      </c>
      <c r="E747" s="6" t="s">
        <v>1140</v>
      </c>
      <c r="F747" s="6" t="s">
        <v>730</v>
      </c>
      <c r="G747" s="6" t="s">
        <v>2529</v>
      </c>
      <c r="H747" s="6"/>
      <c r="I747" s="26" t="n">
        <v>2</v>
      </c>
      <c r="J747" s="26" t="n">
        <f aca="false">COUNTIFS('Control Library'!$A$5:$A$50,"AI-CTRL-039",'Control Library'!$R$5:$R$50,"Implemented")+COUNTIFS('Control Library'!$A$5:$A$50,"AI-CTRL-045",'Control Library'!$R$5:$R$50,"Implemented")</f>
        <v>0</v>
      </c>
      <c r="K747" s="43" t="str">
        <f aca="false">IF(I747=0,"No wiki control",IF(J747=I747,"Fully covered",IF(J747=0,"Not covered","Partly covered")))</f>
        <v>Not covered</v>
      </c>
      <c r="L747" s="9" t="s">
        <v>2522</v>
      </c>
    </row>
    <row r="748" customFormat="false" ht="35.05" hidden="false" customHeight="false" outlineLevel="0" collapsed="false">
      <c r="A748" s="39" t="s">
        <v>609</v>
      </c>
      <c r="B748" s="39" t="s">
        <v>610</v>
      </c>
      <c r="C748" s="5" t="s">
        <v>2530</v>
      </c>
      <c r="D748" s="6" t="s">
        <v>2531</v>
      </c>
      <c r="E748" s="6" t="s">
        <v>2532</v>
      </c>
      <c r="F748" s="6" t="s">
        <v>730</v>
      </c>
      <c r="G748" s="6" t="s">
        <v>2533</v>
      </c>
      <c r="H748" s="6"/>
      <c r="I748" s="26" t="n">
        <v>3</v>
      </c>
      <c r="J748" s="26" t="n">
        <f aca="false">COUNTIFS('Control Library'!$A$5:$A$50,"AI-CTRL-008",'Control Library'!$R$5:$R$50,"Implemented")+COUNTIFS('Control Library'!$A$5:$A$50,"AI-CTRL-012",'Control Library'!$R$5:$R$50,"Implemented")+COUNTIFS('Control Library'!$A$5:$A$50,"AI-CTRL-038",'Control Library'!$R$5:$R$50,"Implemented")</f>
        <v>0</v>
      </c>
      <c r="K748" s="43" t="str">
        <f aca="false">IF(I748=0,"No wiki control",IF(J748=I748,"Fully covered",IF(J748=0,"Not covered","Partly covered")))</f>
        <v>Not covered</v>
      </c>
      <c r="L748" s="9" t="s">
        <v>2522</v>
      </c>
    </row>
    <row r="749" customFormat="false" ht="23.85" hidden="false" customHeight="false" outlineLevel="0" collapsed="false">
      <c r="A749" s="39" t="s">
        <v>609</v>
      </c>
      <c r="B749" s="39" t="s">
        <v>610</v>
      </c>
      <c r="C749" s="5" t="s">
        <v>2534</v>
      </c>
      <c r="D749" s="6" t="s">
        <v>2535</v>
      </c>
      <c r="E749" s="6" t="s">
        <v>504</v>
      </c>
      <c r="F749" s="6" t="s">
        <v>730</v>
      </c>
      <c r="G749" s="6" t="s">
        <v>507</v>
      </c>
      <c r="H749" s="6"/>
      <c r="I749" s="26" t="n">
        <v>1</v>
      </c>
      <c r="J749" s="26" t="n">
        <f aca="false">COUNTIFS('Control Library'!$A$5:$A$50,"AI-CTRL-041",'Control Library'!$R$5:$R$50,"Implemented")</f>
        <v>0</v>
      </c>
      <c r="K749" s="43" t="str">
        <f aca="false">IF(I749=0,"No wiki control",IF(J749=I749,"Fully covered",IF(J749=0,"Not covered","Partly covered")))</f>
        <v>Not covered</v>
      </c>
      <c r="L749" s="9" t="s">
        <v>2522</v>
      </c>
    </row>
    <row r="750" customFormat="false" ht="23.85" hidden="false" customHeight="false" outlineLevel="0" collapsed="false">
      <c r="A750" s="39" t="s">
        <v>609</v>
      </c>
      <c r="B750" s="39" t="s">
        <v>610</v>
      </c>
      <c r="C750" s="5" t="s">
        <v>2536</v>
      </c>
      <c r="D750" s="6" t="s">
        <v>2537</v>
      </c>
      <c r="E750" s="6" t="s">
        <v>1968</v>
      </c>
      <c r="F750" s="6" t="s">
        <v>730</v>
      </c>
      <c r="G750" s="6" t="s">
        <v>1844</v>
      </c>
      <c r="H750" s="6"/>
      <c r="I750" s="26" t="n">
        <v>2</v>
      </c>
      <c r="J750" s="26" t="n">
        <f aca="false">COUNTIFS('Control Library'!$A$5:$A$50,"AI-CTRL-013",'Control Library'!$R$5:$R$50,"Implemented")+COUNTIFS('Control Library'!$A$5:$A$50,"AI-CTRL-017",'Control Library'!$R$5:$R$50,"Implemented")</f>
        <v>0</v>
      </c>
      <c r="K750" s="43" t="str">
        <f aca="false">IF(I750=0,"No wiki control",IF(J750=I750,"Fully covered",IF(J750=0,"Not covered","Partly covered")))</f>
        <v>Not covered</v>
      </c>
      <c r="L750" s="9" t="s">
        <v>2522</v>
      </c>
    </row>
    <row r="751" customFormat="false" ht="35.05" hidden="false" customHeight="false" outlineLevel="0" collapsed="false">
      <c r="A751" s="39" t="s">
        <v>609</v>
      </c>
      <c r="B751" s="39" t="s">
        <v>610</v>
      </c>
      <c r="C751" s="5" t="s">
        <v>2538</v>
      </c>
      <c r="D751" s="6" t="s">
        <v>2539</v>
      </c>
      <c r="E751" s="6" t="s">
        <v>2540</v>
      </c>
      <c r="F751" s="6" t="s">
        <v>730</v>
      </c>
      <c r="G751" s="6" t="s">
        <v>2541</v>
      </c>
      <c r="H751" s="6"/>
      <c r="I751" s="26" t="n">
        <v>3</v>
      </c>
      <c r="J751" s="26" t="n">
        <f aca="false">COUNTIFS('Control Library'!$A$5:$A$50,"AI-CTRL-034",'Control Library'!$R$5:$R$50,"Implemented")+COUNTIFS('Control Library'!$A$5:$A$50,"AI-CTRL-039",'Control Library'!$R$5:$R$50,"Implemented")+COUNTIFS('Control Library'!$A$5:$A$50,"AI-CTRL-040",'Control Library'!$R$5:$R$50,"Implemented")</f>
        <v>0</v>
      </c>
      <c r="K751" s="43" t="str">
        <f aca="false">IF(I751=0,"No wiki control",IF(J751=I751,"Fully covered",IF(J751=0,"Not covered","Partly covered")))</f>
        <v>Not covered</v>
      </c>
      <c r="L751" s="9" t="s">
        <v>2522</v>
      </c>
    </row>
    <row r="752" customFormat="false" ht="23.85" hidden="false" customHeight="false" outlineLevel="0" collapsed="false">
      <c r="A752" s="39" t="s">
        <v>609</v>
      </c>
      <c r="B752" s="39" t="s">
        <v>610</v>
      </c>
      <c r="C752" s="5" t="s">
        <v>2542</v>
      </c>
      <c r="D752" s="6" t="s">
        <v>2543</v>
      </c>
      <c r="E752" s="6"/>
      <c r="F752" s="6" t="s">
        <v>640</v>
      </c>
      <c r="G752" s="6"/>
      <c r="H752" s="6"/>
      <c r="I752" s="26" t="n">
        <v>0</v>
      </c>
      <c r="J752" s="26" t="n">
        <f aca="false">0</f>
        <v>0</v>
      </c>
      <c r="K752" s="43" t="str">
        <f aca="false">IF(I752=0,"No wiki control",IF(J752=I752,"Fully covered",IF(J752=0,"Not covered","Partly covered")))</f>
        <v>No wiki control</v>
      </c>
      <c r="L752" s="9" t="s">
        <v>2522</v>
      </c>
    </row>
    <row r="753" customFormat="false" ht="23.85" hidden="false" customHeight="false" outlineLevel="0" collapsed="false">
      <c r="A753" s="39" t="s">
        <v>609</v>
      </c>
      <c r="B753" s="39" t="s">
        <v>610</v>
      </c>
      <c r="C753" s="5" t="s">
        <v>2544</v>
      </c>
      <c r="D753" s="6" t="s">
        <v>2545</v>
      </c>
      <c r="E753" s="6" t="s">
        <v>2494</v>
      </c>
      <c r="F753" s="6" t="s">
        <v>730</v>
      </c>
      <c r="G753" s="6" t="s">
        <v>2179</v>
      </c>
      <c r="H753" s="6"/>
      <c r="I753" s="26" t="n">
        <v>2</v>
      </c>
      <c r="J753" s="26" t="n">
        <f aca="false">COUNTIFS('Control Library'!$A$5:$A$50,"AI-CTRL-037",'Control Library'!$R$5:$R$50,"Implemented")+COUNTIFS('Control Library'!$A$5:$A$50,"AI-CTRL-042",'Control Library'!$R$5:$R$50,"Implemented")</f>
        <v>0</v>
      </c>
      <c r="K753" s="43" t="str">
        <f aca="false">IF(I753=0,"No wiki control",IF(J753=I753,"Fully covered",IF(J753=0,"Not covered","Partly covered")))</f>
        <v>Not covered</v>
      </c>
      <c r="L753" s="9" t="s">
        <v>2522</v>
      </c>
    </row>
    <row r="754" customFormat="false" ht="23.85" hidden="false" customHeight="false" outlineLevel="0" collapsed="false">
      <c r="A754" s="39" t="s">
        <v>609</v>
      </c>
      <c r="B754" s="39" t="s">
        <v>610</v>
      </c>
      <c r="C754" s="5" t="s">
        <v>2546</v>
      </c>
      <c r="D754" s="6" t="s">
        <v>2547</v>
      </c>
      <c r="E754" s="6"/>
      <c r="F754" s="6" t="s">
        <v>640</v>
      </c>
      <c r="G754" s="6"/>
      <c r="H754" s="6"/>
      <c r="I754" s="26" t="n">
        <v>0</v>
      </c>
      <c r="J754" s="26" t="n">
        <f aca="false">0</f>
        <v>0</v>
      </c>
      <c r="K754" s="43" t="str">
        <f aca="false">IF(I754=0,"No wiki control",IF(J754=I754,"Fully covered",IF(J754=0,"Not covered","Partly covered")))</f>
        <v>No wiki control</v>
      </c>
      <c r="L754" s="9" t="s">
        <v>2522</v>
      </c>
    </row>
    <row r="755" customFormat="false" ht="23.85" hidden="false" customHeight="false" outlineLevel="0" collapsed="false">
      <c r="A755" s="39" t="s">
        <v>609</v>
      </c>
      <c r="B755" s="39" t="s">
        <v>610</v>
      </c>
      <c r="C755" s="5" t="s">
        <v>2548</v>
      </c>
      <c r="D755" s="6" t="s">
        <v>2549</v>
      </c>
      <c r="E755" s="6" t="s">
        <v>530</v>
      </c>
      <c r="F755" s="6" t="s">
        <v>730</v>
      </c>
      <c r="G755" s="6" t="s">
        <v>533</v>
      </c>
      <c r="H755" s="6"/>
      <c r="I755" s="26" t="n">
        <v>1</v>
      </c>
      <c r="J755" s="26" t="n">
        <f aca="false">COUNTIFS('Control Library'!$A$5:$A$50,"AI-CTRL-044",'Control Library'!$R$5:$R$50,"Implemented")</f>
        <v>0</v>
      </c>
      <c r="K755" s="43" t="str">
        <f aca="false">IF(I755=0,"No wiki control",IF(J755=I755,"Fully covered",IF(J755=0,"Not covered","Partly covered")))</f>
        <v>Not covered</v>
      </c>
      <c r="L755" s="9" t="s">
        <v>2522</v>
      </c>
    </row>
    <row r="756" customFormat="false" ht="23.85" hidden="false" customHeight="false" outlineLevel="0" collapsed="false">
      <c r="A756" s="39" t="s">
        <v>609</v>
      </c>
      <c r="B756" s="39" t="s">
        <v>610</v>
      </c>
      <c r="C756" s="5" t="s">
        <v>2550</v>
      </c>
      <c r="D756" s="6" t="s">
        <v>2551</v>
      </c>
      <c r="E756" s="6" t="s">
        <v>522</v>
      </c>
      <c r="F756" s="6" t="s">
        <v>730</v>
      </c>
      <c r="G756" s="6" t="s">
        <v>525</v>
      </c>
      <c r="H756" s="6"/>
      <c r="I756" s="26" t="n">
        <v>1</v>
      </c>
      <c r="J756" s="26" t="n">
        <f aca="false">COUNTIFS('Control Library'!$A$5:$A$50,"AI-CTRL-043",'Control Library'!$R$5:$R$50,"Implemented")</f>
        <v>0</v>
      </c>
      <c r="K756" s="43" t="str">
        <f aca="false">IF(I756=0,"No wiki control",IF(J756=I756,"Fully covered",IF(J756=0,"Not covered","Partly covered")))</f>
        <v>Not covered</v>
      </c>
      <c r="L756" s="9" t="s">
        <v>2522</v>
      </c>
    </row>
    <row r="757" customFormat="false" ht="46.25" hidden="false" customHeight="false" outlineLevel="0" collapsed="false">
      <c r="A757" s="39" t="s">
        <v>611</v>
      </c>
      <c r="B757" s="39" t="s">
        <v>610</v>
      </c>
      <c r="C757" s="5" t="s">
        <v>2552</v>
      </c>
      <c r="D757" s="6" t="s">
        <v>2553</v>
      </c>
      <c r="E757" s="6" t="s">
        <v>2554</v>
      </c>
      <c r="F757" s="6" t="s">
        <v>730</v>
      </c>
      <c r="G757" s="6" t="s">
        <v>2555</v>
      </c>
      <c r="H757" s="6"/>
      <c r="I757" s="26" t="n">
        <v>3</v>
      </c>
      <c r="J757" s="26" t="n">
        <f aca="false">COUNTIFS('Control Library'!$A$5:$A$50,"AI-CTRL-033",'Control Library'!$R$5:$R$50,"Implemented")+COUNTIFS('Control Library'!$A$5:$A$50,"AI-CTRL-034",'Control Library'!$R$5:$R$50,"Implemented")+COUNTIFS('Control Library'!$A$5:$A$50,"AI-CTRL-037",'Control Library'!$R$5:$R$50,"Implemented")</f>
        <v>0</v>
      </c>
      <c r="K757" s="43" t="str">
        <f aca="false">IF(I757=0,"No wiki control",IF(J757=I757,"Fully covered",IF(J757=0,"Not covered","Partly covered")))</f>
        <v>Not covered</v>
      </c>
      <c r="L757" s="9" t="s">
        <v>2522</v>
      </c>
    </row>
    <row r="758" customFormat="false" ht="23.85" hidden="false" customHeight="false" outlineLevel="0" collapsed="false">
      <c r="A758" s="39" t="s">
        <v>611</v>
      </c>
      <c r="B758" s="39" t="s">
        <v>610</v>
      </c>
      <c r="C758" s="5" t="s">
        <v>2556</v>
      </c>
      <c r="D758" s="6" t="s">
        <v>2557</v>
      </c>
      <c r="E758" s="6" t="s">
        <v>2558</v>
      </c>
      <c r="F758" s="6" t="s">
        <v>730</v>
      </c>
      <c r="G758" s="6" t="s">
        <v>2559</v>
      </c>
      <c r="H758" s="6"/>
      <c r="I758" s="26" t="n">
        <v>3</v>
      </c>
      <c r="J758" s="26" t="n">
        <f aca="false">COUNTIFS('Control Library'!$A$5:$A$50,"AI-CTRL-034",'Control Library'!$R$5:$R$50,"Implemented")+COUNTIFS('Control Library'!$A$5:$A$50,"AI-CTRL-035",'Control Library'!$R$5:$R$50,"Implemented")+COUNTIFS('Control Library'!$A$5:$A$50,"AI-CTRL-036",'Control Library'!$R$5:$R$50,"Implemented")</f>
        <v>0</v>
      </c>
      <c r="K758" s="43" t="str">
        <f aca="false">IF(I758=0,"No wiki control",IF(J758=I758,"Fully covered",IF(J758=0,"Not covered","Partly covered")))</f>
        <v>Not covered</v>
      </c>
      <c r="L758" s="9" t="s">
        <v>2522</v>
      </c>
    </row>
    <row r="759" customFormat="false" ht="23.85" hidden="false" customHeight="false" outlineLevel="0" collapsed="false">
      <c r="A759" s="39" t="s">
        <v>611</v>
      </c>
      <c r="B759" s="39" t="s">
        <v>610</v>
      </c>
      <c r="C759" s="5" t="s">
        <v>2560</v>
      </c>
      <c r="D759" s="6" t="s">
        <v>2561</v>
      </c>
      <c r="E759" s="6" t="s">
        <v>486</v>
      </c>
      <c r="F759" s="6" t="s">
        <v>730</v>
      </c>
      <c r="G759" s="6" t="s">
        <v>490</v>
      </c>
      <c r="H759" s="6"/>
      <c r="I759" s="26" t="n">
        <v>1</v>
      </c>
      <c r="J759" s="26" t="n">
        <f aca="false">COUNTIFS('Control Library'!$A$5:$A$50,"AI-CTRL-039",'Control Library'!$R$5:$R$50,"Implemented")</f>
        <v>0</v>
      </c>
      <c r="K759" s="43" t="str">
        <f aca="false">IF(I759=0,"No wiki control",IF(J759=I759,"Fully covered",IF(J759=0,"Not covered","Partly covered")))</f>
        <v>Not covered</v>
      </c>
      <c r="L759" s="9" t="s">
        <v>2522</v>
      </c>
    </row>
    <row r="760" customFormat="false" ht="23.85" hidden="false" customHeight="false" outlineLevel="0" collapsed="false">
      <c r="A760" s="39" t="s">
        <v>611</v>
      </c>
      <c r="B760" s="39" t="s">
        <v>610</v>
      </c>
      <c r="C760" s="5" t="s">
        <v>2562</v>
      </c>
      <c r="D760" s="6" t="s">
        <v>2563</v>
      </c>
      <c r="E760" s="6" t="s">
        <v>1662</v>
      </c>
      <c r="F760" s="6" t="s">
        <v>730</v>
      </c>
      <c r="G760" s="6" t="s">
        <v>1663</v>
      </c>
      <c r="H760" s="6"/>
      <c r="I760" s="26" t="n">
        <v>2</v>
      </c>
      <c r="J760" s="26" t="n">
        <f aca="false">COUNTIFS('Control Library'!$A$5:$A$50,"AI-CTRL-035",'Control Library'!$R$5:$R$50,"Implemented")+COUNTIFS('Control Library'!$A$5:$A$50,"AI-CTRL-043",'Control Library'!$R$5:$R$50,"Implemented")</f>
        <v>0</v>
      </c>
      <c r="K760" s="43" t="str">
        <f aca="false">IF(I760=0,"No wiki control",IF(J760=I760,"Fully covered",IF(J760=0,"Not covered","Partly covered")))</f>
        <v>Not covered</v>
      </c>
      <c r="L760" s="9" t="s">
        <v>2522</v>
      </c>
    </row>
    <row r="761" customFormat="false" ht="23.85" hidden="false" customHeight="false" outlineLevel="0" collapsed="false">
      <c r="A761" s="39" t="s">
        <v>611</v>
      </c>
      <c r="B761" s="39" t="s">
        <v>610</v>
      </c>
      <c r="C761" s="5" t="s">
        <v>2564</v>
      </c>
      <c r="D761" s="6" t="s">
        <v>2565</v>
      </c>
      <c r="E761" s="6" t="s">
        <v>2566</v>
      </c>
      <c r="F761" s="6" t="s">
        <v>730</v>
      </c>
      <c r="G761" s="6" t="s">
        <v>2567</v>
      </c>
      <c r="H761" s="6"/>
      <c r="I761" s="26" t="n">
        <v>2</v>
      </c>
      <c r="J761" s="26" t="n">
        <f aca="false">COUNTIFS('Control Library'!$A$5:$A$50,"AI-CTRL-012",'Control Library'!$R$5:$R$50,"Implemented")+COUNTIFS('Control Library'!$A$5:$A$50,"AI-CTRL-037",'Control Library'!$R$5:$R$50,"Implemented")</f>
        <v>0</v>
      </c>
      <c r="K761" s="43" t="str">
        <f aca="false">IF(I761=0,"No wiki control",IF(J761=I761,"Fully covered",IF(J761=0,"Not covered","Partly covered")))</f>
        <v>Not covered</v>
      </c>
      <c r="L761" s="9" t="s">
        <v>2522</v>
      </c>
    </row>
    <row r="762" customFormat="false" ht="23.85" hidden="false" customHeight="false" outlineLevel="0" collapsed="false">
      <c r="A762" s="39" t="s">
        <v>611</v>
      </c>
      <c r="B762" s="39" t="s">
        <v>610</v>
      </c>
      <c r="C762" s="5" t="s">
        <v>2568</v>
      </c>
      <c r="D762" s="6" t="s">
        <v>2569</v>
      </c>
      <c r="E762" s="6" t="s">
        <v>2570</v>
      </c>
      <c r="F762" s="6" t="s">
        <v>730</v>
      </c>
      <c r="G762" s="6" t="s">
        <v>431</v>
      </c>
      <c r="H762" s="6"/>
      <c r="I762" s="26" t="n">
        <v>3</v>
      </c>
      <c r="J762" s="26" t="n">
        <f aca="false">COUNTIFS('Control Library'!$A$5:$A$50,"AI-CTRL-028",'Control Library'!$R$5:$R$50,"Implemented")+COUNTIFS('Control Library'!$A$5:$A$50,"AI-CTRL-030",'Control Library'!$R$5:$R$50,"Implemented")+COUNTIFS('Control Library'!$A$5:$A$50,"AI-CTRL-032",'Control Library'!$R$5:$R$50,"Implemented")</f>
        <v>0</v>
      </c>
      <c r="K762" s="43" t="str">
        <f aca="false">IF(I762=0,"No wiki control",IF(J762=I762,"Fully covered",IF(J762=0,"Not covered","Partly covered")))</f>
        <v>Not covered</v>
      </c>
      <c r="L762" s="9" t="s">
        <v>2522</v>
      </c>
    </row>
    <row r="763" customFormat="false" ht="23.85" hidden="false" customHeight="false" outlineLevel="0" collapsed="false">
      <c r="A763" s="39" t="s">
        <v>611</v>
      </c>
      <c r="B763" s="39" t="s">
        <v>610</v>
      </c>
      <c r="C763" s="5" t="s">
        <v>2571</v>
      </c>
      <c r="D763" s="6" t="s">
        <v>2572</v>
      </c>
      <c r="E763" s="6" t="s">
        <v>486</v>
      </c>
      <c r="F763" s="6" t="s">
        <v>730</v>
      </c>
      <c r="G763" s="6" t="s">
        <v>490</v>
      </c>
      <c r="H763" s="6"/>
      <c r="I763" s="26" t="n">
        <v>1</v>
      </c>
      <c r="J763" s="26" t="n">
        <f aca="false">COUNTIFS('Control Library'!$A$5:$A$50,"AI-CTRL-039",'Control Library'!$R$5:$R$50,"Implemented")</f>
        <v>0</v>
      </c>
      <c r="K763" s="43" t="str">
        <f aca="false">IF(I763=0,"No wiki control",IF(J763=I763,"Fully covered",IF(J763=0,"Not covered","Partly covered")))</f>
        <v>Not covered</v>
      </c>
      <c r="L763" s="9" t="s">
        <v>2522</v>
      </c>
    </row>
    <row r="764" customFormat="false" ht="23.85" hidden="false" customHeight="false" outlineLevel="0" collapsed="false">
      <c r="A764" s="39" t="s">
        <v>611</v>
      </c>
      <c r="B764" s="39" t="s">
        <v>610</v>
      </c>
      <c r="C764" s="5" t="s">
        <v>2573</v>
      </c>
      <c r="D764" s="6" t="s">
        <v>2574</v>
      </c>
      <c r="E764" s="6"/>
      <c r="F764" s="6" t="s">
        <v>640</v>
      </c>
      <c r="G764" s="6"/>
      <c r="H764" s="6"/>
      <c r="I764" s="26" t="n">
        <v>0</v>
      </c>
      <c r="J764" s="26" t="n">
        <f aca="false">0</f>
        <v>0</v>
      </c>
      <c r="K764" s="43" t="str">
        <f aca="false">IF(I764=0,"No wiki control",IF(J764=I764,"Fully covered",IF(J764=0,"Not covered","Partly covered")))</f>
        <v>No wiki control</v>
      </c>
      <c r="L764" s="9" t="s">
        <v>2522</v>
      </c>
    </row>
    <row r="765" customFormat="false" ht="23.85" hidden="false" customHeight="false" outlineLevel="0" collapsed="false">
      <c r="A765" s="39" t="s">
        <v>611</v>
      </c>
      <c r="B765" s="39" t="s">
        <v>610</v>
      </c>
      <c r="C765" s="5" t="s">
        <v>2575</v>
      </c>
      <c r="D765" s="6" t="s">
        <v>2576</v>
      </c>
      <c r="E765" s="6"/>
      <c r="F765" s="6" t="s">
        <v>640</v>
      </c>
      <c r="G765" s="6"/>
      <c r="H765" s="6"/>
      <c r="I765" s="26" t="n">
        <v>0</v>
      </c>
      <c r="J765" s="26" t="n">
        <f aca="false">0</f>
        <v>0</v>
      </c>
      <c r="K765" s="43" t="str">
        <f aca="false">IF(I765=0,"No wiki control",IF(J765=I765,"Fully covered",IF(J765=0,"Not covered","Partly covered")))</f>
        <v>No wiki control</v>
      </c>
      <c r="L765" s="9" t="s">
        <v>2522</v>
      </c>
    </row>
    <row r="766" customFormat="false" ht="23.85" hidden="false" customHeight="false" outlineLevel="0" collapsed="false">
      <c r="A766" s="39" t="s">
        <v>611</v>
      </c>
      <c r="B766" s="39" t="s">
        <v>610</v>
      </c>
      <c r="C766" s="5" t="s">
        <v>2577</v>
      </c>
      <c r="D766" s="6" t="s">
        <v>2578</v>
      </c>
      <c r="E766" s="6"/>
      <c r="F766" s="6" t="s">
        <v>640</v>
      </c>
      <c r="G766" s="6"/>
      <c r="H766" s="6"/>
      <c r="I766" s="26" t="n">
        <v>0</v>
      </c>
      <c r="J766" s="26" t="n">
        <f aca="false">0</f>
        <v>0</v>
      </c>
      <c r="K766" s="43" t="str">
        <f aca="false">IF(I766=0,"No wiki control",IF(J766=I766,"Fully covered",IF(J766=0,"Not covered","Partly covered")))</f>
        <v>No wiki control</v>
      </c>
      <c r="L766" s="9" t="s">
        <v>2522</v>
      </c>
    </row>
    <row r="767" customFormat="false" ht="35.05" hidden="false" customHeight="false" outlineLevel="0" collapsed="false">
      <c r="A767" s="39" t="s">
        <v>611</v>
      </c>
      <c r="B767" s="39" t="s">
        <v>610</v>
      </c>
      <c r="C767" s="5" t="s">
        <v>2579</v>
      </c>
      <c r="D767" s="6" t="s">
        <v>2580</v>
      </c>
      <c r="E767" s="6" t="s">
        <v>2581</v>
      </c>
      <c r="F767" s="6" t="s">
        <v>730</v>
      </c>
      <c r="G767" s="6" t="s">
        <v>2582</v>
      </c>
      <c r="H767" s="6"/>
      <c r="I767" s="26" t="n">
        <v>3</v>
      </c>
      <c r="J767" s="26" t="n">
        <f aca="false">COUNTIFS('Control Library'!$A$5:$A$50,"AI-CTRL-013",'Control Library'!$R$5:$R$50,"Implemented")+COUNTIFS('Control Library'!$A$5:$A$50,"AI-CTRL-029",'Control Library'!$R$5:$R$50,"Implemented")+COUNTIFS('Control Library'!$A$5:$A$50,"AI-CTRL-046",'Control Library'!$R$5:$R$50,"Implemented")</f>
        <v>0</v>
      </c>
      <c r="K767" s="43" t="str">
        <f aca="false">IF(I767=0,"No wiki control",IF(J767=I767,"Fully covered",IF(J767=0,"Not covered","Partly covered")))</f>
        <v>Not covered</v>
      </c>
      <c r="L767" s="9" t="s">
        <v>2522</v>
      </c>
    </row>
    <row r="768" customFormat="false" ht="35.05" hidden="false" customHeight="false" outlineLevel="0" collapsed="false">
      <c r="A768" s="58" t="s">
        <v>612</v>
      </c>
      <c r="B768" s="58" t="s">
        <v>613</v>
      </c>
      <c r="C768" s="5" t="s">
        <v>2583</v>
      </c>
      <c r="D768" s="6" t="s">
        <v>2584</v>
      </c>
      <c r="E768" s="6" t="s">
        <v>2585</v>
      </c>
      <c r="F768" s="6" t="s">
        <v>730</v>
      </c>
      <c r="G768" s="6" t="s">
        <v>2462</v>
      </c>
      <c r="H768" s="6"/>
      <c r="I768" s="26" t="n">
        <v>4</v>
      </c>
      <c r="J768" s="26" t="n">
        <f aca="false">COUNTIFS('Control Library'!$A$5:$A$50,"AI-CTRL-013",'Control Library'!$R$5:$R$50,"Implemented")+COUNTIFS('Control Library'!$A$5:$A$50,"AI-CTRL-023",'Control Library'!$R$5:$R$50,"Implemented")+COUNTIFS('Control Library'!$A$5:$A$50,"AI-CTRL-041",'Control Library'!$R$5:$R$50,"Implemented")+COUNTIFS('Control Library'!$A$5:$A$50,"AI-CTRL-045",'Control Library'!$R$5:$R$50,"Implemented")</f>
        <v>0</v>
      </c>
      <c r="K768" s="43" t="str">
        <f aca="false">IF(I768=0,"No wiki control",IF(J768=I768,"Fully covered",IF(J768=0,"Not covered","Partly covered")))</f>
        <v>Not covered</v>
      </c>
      <c r="L768" s="9" t="s">
        <v>2586</v>
      </c>
    </row>
    <row r="769" customFormat="false" ht="35.05" hidden="false" customHeight="false" outlineLevel="0" collapsed="false">
      <c r="A769" s="58" t="s">
        <v>612</v>
      </c>
      <c r="B769" s="58" t="s">
        <v>613</v>
      </c>
      <c r="C769" s="5" t="s">
        <v>2583</v>
      </c>
      <c r="D769" s="6" t="s">
        <v>2587</v>
      </c>
      <c r="E769" s="6" t="s">
        <v>2585</v>
      </c>
      <c r="F769" s="6" t="s">
        <v>730</v>
      </c>
      <c r="G769" s="6" t="s">
        <v>2462</v>
      </c>
      <c r="H769" s="6"/>
      <c r="I769" s="26" t="n">
        <v>4</v>
      </c>
      <c r="J769" s="26" t="n">
        <f aca="false">COUNTIFS('Control Library'!$A$5:$A$50,"AI-CTRL-013",'Control Library'!$R$5:$R$50,"Implemented")+COUNTIFS('Control Library'!$A$5:$A$50,"AI-CTRL-023",'Control Library'!$R$5:$R$50,"Implemented")+COUNTIFS('Control Library'!$A$5:$A$50,"AI-CTRL-041",'Control Library'!$R$5:$R$50,"Implemented")+COUNTIFS('Control Library'!$A$5:$A$50,"AI-CTRL-045",'Control Library'!$R$5:$R$50,"Implemented")</f>
        <v>0</v>
      </c>
      <c r="K769" s="43" t="str">
        <f aca="false">IF(I769=0,"No wiki control",IF(J769=I769,"Fully covered",IF(J769=0,"Not covered","Partly covered")))</f>
        <v>Not covered</v>
      </c>
      <c r="L769" s="9" t="s">
        <v>2586</v>
      </c>
    </row>
    <row r="770" customFormat="false" ht="23.85" hidden="false" customHeight="false" outlineLevel="0" collapsed="false">
      <c r="A770" s="58" t="s">
        <v>612</v>
      </c>
      <c r="B770" s="58" t="s">
        <v>613</v>
      </c>
      <c r="C770" s="5" t="s">
        <v>2588</v>
      </c>
      <c r="D770" s="6" t="s">
        <v>2589</v>
      </c>
      <c r="E770" s="6" t="s">
        <v>1662</v>
      </c>
      <c r="F770" s="6" t="s">
        <v>730</v>
      </c>
      <c r="G770" s="6" t="s">
        <v>1663</v>
      </c>
      <c r="H770" s="6"/>
      <c r="I770" s="26" t="n">
        <v>2</v>
      </c>
      <c r="J770" s="26" t="n">
        <f aca="false">COUNTIFS('Control Library'!$A$5:$A$50,"AI-CTRL-035",'Control Library'!$R$5:$R$50,"Implemented")+COUNTIFS('Control Library'!$A$5:$A$50,"AI-CTRL-043",'Control Library'!$R$5:$R$50,"Implemented")</f>
        <v>0</v>
      </c>
      <c r="K770" s="43" t="str">
        <f aca="false">IF(I770=0,"No wiki control",IF(J770=I770,"Fully covered",IF(J770=0,"Not covered","Partly covered")))</f>
        <v>Not covered</v>
      </c>
      <c r="L770" s="9" t="s">
        <v>2586</v>
      </c>
    </row>
    <row r="771" customFormat="false" ht="35.05" hidden="false" customHeight="false" outlineLevel="0" collapsed="false">
      <c r="A771" s="58" t="s">
        <v>612</v>
      </c>
      <c r="B771" s="58" t="s">
        <v>613</v>
      </c>
      <c r="C771" s="5" t="s">
        <v>2588</v>
      </c>
      <c r="D771" s="6" t="s">
        <v>2590</v>
      </c>
      <c r="E771" s="6" t="s">
        <v>1662</v>
      </c>
      <c r="F771" s="6" t="s">
        <v>730</v>
      </c>
      <c r="G771" s="6" t="s">
        <v>1663</v>
      </c>
      <c r="H771" s="6"/>
      <c r="I771" s="26" t="n">
        <v>2</v>
      </c>
      <c r="J771" s="26" t="n">
        <f aca="false">COUNTIFS('Control Library'!$A$5:$A$50,"AI-CTRL-035",'Control Library'!$R$5:$R$50,"Implemented")+COUNTIFS('Control Library'!$A$5:$A$50,"AI-CTRL-043",'Control Library'!$R$5:$R$50,"Implemented")</f>
        <v>0</v>
      </c>
      <c r="K771" s="43" t="str">
        <f aca="false">IF(I771=0,"No wiki control",IF(J771=I771,"Fully covered",IF(J771=0,"Not covered","Partly covered")))</f>
        <v>Not covered</v>
      </c>
      <c r="L771" s="9" t="s">
        <v>2586</v>
      </c>
    </row>
    <row r="772" customFormat="false" ht="35.05" hidden="false" customHeight="false" outlineLevel="0" collapsed="false">
      <c r="A772" s="58" t="s">
        <v>612</v>
      </c>
      <c r="B772" s="58" t="s">
        <v>613</v>
      </c>
      <c r="C772" s="5" t="s">
        <v>2591</v>
      </c>
      <c r="D772" s="6" t="s">
        <v>2592</v>
      </c>
      <c r="E772" s="6" t="s">
        <v>513</v>
      </c>
      <c r="F772" s="6" t="s">
        <v>730</v>
      </c>
      <c r="G772" s="6" t="s">
        <v>516</v>
      </c>
      <c r="H772" s="6"/>
      <c r="I772" s="26" t="n">
        <v>1</v>
      </c>
      <c r="J772" s="26" t="n">
        <f aca="false">COUNTIFS('Control Library'!$A$5:$A$50,"AI-CTRL-042",'Control Library'!$R$5:$R$50,"Implemented")</f>
        <v>0</v>
      </c>
      <c r="K772" s="43" t="str">
        <f aca="false">IF(I772=0,"No wiki control",IF(J772=I772,"Fully covered",IF(J772=0,"Not covered","Partly covered")))</f>
        <v>Not covered</v>
      </c>
      <c r="L772" s="9" t="s">
        <v>2586</v>
      </c>
    </row>
    <row r="773" customFormat="false" ht="35.05" hidden="false" customHeight="false" outlineLevel="0" collapsed="false">
      <c r="A773" s="58" t="s">
        <v>612</v>
      </c>
      <c r="B773" s="58" t="s">
        <v>613</v>
      </c>
      <c r="C773" s="5" t="s">
        <v>2591</v>
      </c>
      <c r="D773" s="6" t="s">
        <v>2593</v>
      </c>
      <c r="E773" s="6" t="s">
        <v>513</v>
      </c>
      <c r="F773" s="6" t="s">
        <v>730</v>
      </c>
      <c r="G773" s="6" t="s">
        <v>516</v>
      </c>
      <c r="H773" s="6"/>
      <c r="I773" s="26" t="n">
        <v>1</v>
      </c>
      <c r="J773" s="26" t="n">
        <f aca="false">COUNTIFS('Control Library'!$A$5:$A$50,"AI-CTRL-042",'Control Library'!$R$5:$R$50,"Implemented")</f>
        <v>0</v>
      </c>
      <c r="K773" s="43" t="str">
        <f aca="false">IF(I773=0,"No wiki control",IF(J773=I773,"Fully covered",IF(J773=0,"Not covered","Partly covered")))</f>
        <v>Not covered</v>
      </c>
      <c r="L773" s="9" t="s">
        <v>2586</v>
      </c>
    </row>
    <row r="774" customFormat="false" ht="23.85" hidden="false" customHeight="false" outlineLevel="0" collapsed="false">
      <c r="A774" s="58" t="s">
        <v>612</v>
      </c>
      <c r="B774" s="58" t="s">
        <v>613</v>
      </c>
      <c r="C774" s="5" t="s">
        <v>2594</v>
      </c>
      <c r="D774" s="6" t="s">
        <v>2595</v>
      </c>
      <c r="E774" s="6" t="s">
        <v>272</v>
      </c>
      <c r="F774" s="6" t="s">
        <v>730</v>
      </c>
      <c r="G774" s="6" t="s">
        <v>276</v>
      </c>
      <c r="H774" s="6"/>
      <c r="I774" s="26" t="n">
        <v>1</v>
      </c>
      <c r="J774" s="26" t="n">
        <f aca="false">COUNTIFS('Control Library'!$A$5:$A$50,"AI-CTRL-013",'Control Library'!$R$5:$R$50,"Implemented")</f>
        <v>0</v>
      </c>
      <c r="K774" s="43" t="str">
        <f aca="false">IF(I774=0,"No wiki control",IF(J774=I774,"Fully covered",IF(J774=0,"Not covered","Partly covered")))</f>
        <v>Not covered</v>
      </c>
      <c r="L774" s="9" t="s">
        <v>2586</v>
      </c>
    </row>
    <row r="775" customFormat="false" ht="23.85" hidden="false" customHeight="false" outlineLevel="0" collapsed="false">
      <c r="A775" s="58" t="s">
        <v>612</v>
      </c>
      <c r="B775" s="58" t="s">
        <v>613</v>
      </c>
      <c r="C775" s="5" t="s">
        <v>2594</v>
      </c>
      <c r="D775" s="6" t="s">
        <v>2596</v>
      </c>
      <c r="E775" s="6" t="s">
        <v>272</v>
      </c>
      <c r="F775" s="6" t="s">
        <v>730</v>
      </c>
      <c r="G775" s="6" t="s">
        <v>276</v>
      </c>
      <c r="H775" s="6"/>
      <c r="I775" s="26" t="n">
        <v>1</v>
      </c>
      <c r="J775" s="26" t="n">
        <f aca="false">COUNTIFS('Control Library'!$A$5:$A$50,"AI-CTRL-013",'Control Library'!$R$5:$R$50,"Implemented")</f>
        <v>0</v>
      </c>
      <c r="K775" s="43" t="str">
        <f aca="false">IF(I775=0,"No wiki control",IF(J775=I775,"Fully covered",IF(J775=0,"Not covered","Partly covered")))</f>
        <v>Not covered</v>
      </c>
      <c r="L775" s="9" t="s">
        <v>2586</v>
      </c>
    </row>
    <row r="776" customFormat="false" ht="23.85" hidden="false" customHeight="false" outlineLevel="0" collapsed="false">
      <c r="A776" s="58" t="s">
        <v>612</v>
      </c>
      <c r="B776" s="58" t="s">
        <v>613</v>
      </c>
      <c r="C776" s="5" t="s">
        <v>2597</v>
      </c>
      <c r="D776" s="6" t="s">
        <v>2598</v>
      </c>
      <c r="E776" s="6" t="s">
        <v>2161</v>
      </c>
      <c r="F776" s="6" t="s">
        <v>730</v>
      </c>
      <c r="G776" s="6" t="s">
        <v>2162</v>
      </c>
      <c r="H776" s="6"/>
      <c r="I776" s="26" t="n">
        <v>2</v>
      </c>
      <c r="J776" s="26" t="n">
        <f aca="false">COUNTIFS('Control Library'!$A$5:$A$50,"AI-CTRL-007",'Control Library'!$R$5:$R$50,"Implemented")+COUNTIFS('Control Library'!$A$5:$A$50,"AI-CTRL-017",'Control Library'!$R$5:$R$50,"Implemented")</f>
        <v>0</v>
      </c>
      <c r="K776" s="43" t="str">
        <f aca="false">IF(I776=0,"No wiki control",IF(J776=I776,"Fully covered",IF(J776=0,"Not covered","Partly covered")))</f>
        <v>Not covered</v>
      </c>
      <c r="L776" s="9" t="s">
        <v>2586</v>
      </c>
    </row>
    <row r="777" customFormat="false" ht="23.85" hidden="false" customHeight="false" outlineLevel="0" collapsed="false">
      <c r="A777" s="58" t="s">
        <v>612</v>
      </c>
      <c r="B777" s="58" t="s">
        <v>613</v>
      </c>
      <c r="C777" s="5" t="s">
        <v>2597</v>
      </c>
      <c r="D777" s="6" t="s">
        <v>2599</v>
      </c>
      <c r="E777" s="6" t="s">
        <v>2161</v>
      </c>
      <c r="F777" s="6" t="s">
        <v>730</v>
      </c>
      <c r="G777" s="6" t="s">
        <v>2162</v>
      </c>
      <c r="H777" s="6"/>
      <c r="I777" s="26" t="n">
        <v>2</v>
      </c>
      <c r="J777" s="26" t="n">
        <f aca="false">COUNTIFS('Control Library'!$A$5:$A$50,"AI-CTRL-007",'Control Library'!$R$5:$R$50,"Implemented")+COUNTIFS('Control Library'!$A$5:$A$50,"AI-CTRL-017",'Control Library'!$R$5:$R$50,"Implemented")</f>
        <v>0</v>
      </c>
      <c r="K777" s="43" t="str">
        <f aca="false">IF(I777=0,"No wiki control",IF(J777=I777,"Fully covered",IF(J777=0,"Not covered","Partly covered")))</f>
        <v>Not covered</v>
      </c>
      <c r="L777" s="9" t="s">
        <v>2586</v>
      </c>
    </row>
    <row r="778" customFormat="false" ht="23.85" hidden="false" customHeight="false" outlineLevel="0" collapsed="false">
      <c r="A778" s="58" t="s">
        <v>612</v>
      </c>
      <c r="B778" s="58" t="s">
        <v>613</v>
      </c>
      <c r="C778" s="5" t="s">
        <v>2600</v>
      </c>
      <c r="D778" s="6" t="s">
        <v>2601</v>
      </c>
      <c r="E778" s="6" t="s">
        <v>219</v>
      </c>
      <c r="F778" s="6" t="s">
        <v>730</v>
      </c>
      <c r="G778" s="6" t="s">
        <v>224</v>
      </c>
      <c r="H778" s="6"/>
      <c r="I778" s="26" t="n">
        <v>1</v>
      </c>
      <c r="J778" s="26" t="n">
        <f aca="false">COUNTIFS('Control Library'!$A$5:$A$50,"AI-CTRL-007",'Control Library'!$R$5:$R$50,"Implemented")</f>
        <v>0</v>
      </c>
      <c r="K778" s="43" t="str">
        <f aca="false">IF(I778=0,"No wiki control",IF(J778=I778,"Fully covered",IF(J778=0,"Not covered","Partly covered")))</f>
        <v>Not covered</v>
      </c>
      <c r="L778" s="9" t="s">
        <v>2586</v>
      </c>
    </row>
    <row r="779" customFormat="false" ht="23.85" hidden="false" customHeight="false" outlineLevel="0" collapsed="false">
      <c r="A779" s="58" t="s">
        <v>612</v>
      </c>
      <c r="B779" s="58" t="s">
        <v>613</v>
      </c>
      <c r="C779" s="5" t="s">
        <v>2600</v>
      </c>
      <c r="D779" s="6" t="s">
        <v>2602</v>
      </c>
      <c r="E779" s="6" t="s">
        <v>219</v>
      </c>
      <c r="F779" s="6" t="s">
        <v>730</v>
      </c>
      <c r="G779" s="6" t="s">
        <v>224</v>
      </c>
      <c r="H779" s="6"/>
      <c r="I779" s="26" t="n">
        <v>1</v>
      </c>
      <c r="J779" s="26" t="n">
        <f aca="false">COUNTIFS('Control Library'!$A$5:$A$50,"AI-CTRL-007",'Control Library'!$R$5:$R$50,"Implemented")</f>
        <v>0</v>
      </c>
      <c r="K779" s="43" t="str">
        <f aca="false">IF(I779=0,"No wiki control",IF(J779=I779,"Fully covered",IF(J779=0,"Not covered","Partly covered")))</f>
        <v>Not covered</v>
      </c>
      <c r="L779" s="9" t="s">
        <v>2586</v>
      </c>
    </row>
    <row r="780" customFormat="false" ht="23.85" hidden="false" customHeight="false" outlineLevel="0" collapsed="false">
      <c r="A780" s="58" t="s">
        <v>612</v>
      </c>
      <c r="B780" s="58" t="s">
        <v>613</v>
      </c>
      <c r="C780" s="5" t="s">
        <v>2603</v>
      </c>
      <c r="D780" s="6" t="s">
        <v>2604</v>
      </c>
      <c r="E780" s="6" t="s">
        <v>282</v>
      </c>
      <c r="F780" s="6" t="s">
        <v>730</v>
      </c>
      <c r="G780" s="6" t="s">
        <v>286</v>
      </c>
      <c r="H780" s="6"/>
      <c r="I780" s="26" t="n">
        <v>1</v>
      </c>
      <c r="J780" s="26" t="n">
        <f aca="false">COUNTIFS('Control Library'!$A$5:$A$50,"AI-CTRL-014",'Control Library'!$R$5:$R$50,"Implemented")</f>
        <v>0</v>
      </c>
      <c r="K780" s="43" t="str">
        <f aca="false">IF(I780=0,"No wiki control",IF(J780=I780,"Fully covered",IF(J780=0,"Not covered","Partly covered")))</f>
        <v>Not covered</v>
      </c>
      <c r="L780" s="9" t="s">
        <v>2586</v>
      </c>
    </row>
    <row r="781" customFormat="false" ht="23.85" hidden="false" customHeight="false" outlineLevel="0" collapsed="false">
      <c r="A781" s="58" t="s">
        <v>612</v>
      </c>
      <c r="B781" s="58" t="s">
        <v>613</v>
      </c>
      <c r="C781" s="5" t="s">
        <v>2603</v>
      </c>
      <c r="D781" s="6" t="s">
        <v>2605</v>
      </c>
      <c r="E781" s="6" t="s">
        <v>282</v>
      </c>
      <c r="F781" s="6" t="s">
        <v>730</v>
      </c>
      <c r="G781" s="6" t="s">
        <v>286</v>
      </c>
      <c r="H781" s="6"/>
      <c r="I781" s="26" t="n">
        <v>1</v>
      </c>
      <c r="J781" s="26" t="n">
        <f aca="false">COUNTIFS('Control Library'!$A$5:$A$50,"AI-CTRL-014",'Control Library'!$R$5:$R$50,"Implemented")</f>
        <v>0</v>
      </c>
      <c r="K781" s="43" t="str">
        <f aca="false">IF(I781=0,"No wiki control",IF(J781=I781,"Fully covered",IF(J781=0,"Not covered","Partly covered")))</f>
        <v>Not covered</v>
      </c>
      <c r="L781" s="9" t="s">
        <v>2586</v>
      </c>
    </row>
    <row r="782" customFormat="false" ht="23.85" hidden="false" customHeight="false" outlineLevel="0" collapsed="false">
      <c r="A782" s="58" t="s">
        <v>614</v>
      </c>
      <c r="B782" s="58" t="s">
        <v>613</v>
      </c>
      <c r="C782" s="5" t="s">
        <v>2606</v>
      </c>
      <c r="D782" s="6" t="s">
        <v>2607</v>
      </c>
      <c r="E782" s="6" t="s">
        <v>272</v>
      </c>
      <c r="F782" s="6" t="s">
        <v>730</v>
      </c>
      <c r="G782" s="6" t="s">
        <v>276</v>
      </c>
      <c r="H782" s="6"/>
      <c r="I782" s="26" t="n">
        <v>1</v>
      </c>
      <c r="J782" s="26" t="n">
        <f aca="false">COUNTIFS('Control Library'!$A$5:$A$50,"AI-CTRL-013",'Control Library'!$R$5:$R$50,"Implemented")</f>
        <v>0</v>
      </c>
      <c r="K782" s="43" t="str">
        <f aca="false">IF(I782=0,"No wiki control",IF(J782=I782,"Fully covered",IF(J782=0,"Not covered","Partly covered")))</f>
        <v>Not covered</v>
      </c>
      <c r="L782" s="9" t="s">
        <v>2608</v>
      </c>
    </row>
    <row r="783" customFormat="false" ht="23.85" hidden="false" customHeight="false" outlineLevel="0" collapsed="false">
      <c r="A783" s="58" t="s">
        <v>614</v>
      </c>
      <c r="B783" s="58" t="s">
        <v>613</v>
      </c>
      <c r="C783" s="5" t="s">
        <v>2609</v>
      </c>
      <c r="D783" s="6" t="s">
        <v>2610</v>
      </c>
      <c r="E783" s="6" t="s">
        <v>263</v>
      </c>
      <c r="F783" s="6" t="s">
        <v>730</v>
      </c>
      <c r="G783" s="6" t="s">
        <v>266</v>
      </c>
      <c r="H783" s="6"/>
      <c r="I783" s="26" t="n">
        <v>1</v>
      </c>
      <c r="J783" s="26" t="n">
        <f aca="false">COUNTIFS('Control Library'!$A$5:$A$50,"AI-CTRL-012",'Control Library'!$R$5:$R$50,"Implemented")</f>
        <v>0</v>
      </c>
      <c r="K783" s="43" t="str">
        <f aca="false">IF(I783=0,"No wiki control",IF(J783=I783,"Fully covered",IF(J783=0,"Not covered","Partly covered")))</f>
        <v>Not covered</v>
      </c>
      <c r="L783" s="9" t="s">
        <v>2608</v>
      </c>
    </row>
    <row r="784" customFormat="false" ht="23.85" hidden="false" customHeight="false" outlineLevel="0" collapsed="false">
      <c r="A784" s="58" t="s">
        <v>614</v>
      </c>
      <c r="B784" s="58" t="s">
        <v>613</v>
      </c>
      <c r="C784" s="5" t="s">
        <v>2611</v>
      </c>
      <c r="D784" s="6" t="s">
        <v>2612</v>
      </c>
      <c r="E784" s="6"/>
      <c r="F784" s="6" t="s">
        <v>640</v>
      </c>
      <c r="G784" s="6"/>
      <c r="H784" s="6"/>
      <c r="I784" s="26" t="n">
        <v>0</v>
      </c>
      <c r="J784" s="26" t="n">
        <f aca="false">0</f>
        <v>0</v>
      </c>
      <c r="K784" s="43" t="str">
        <f aca="false">IF(I784=0,"No wiki control",IF(J784=I784,"Fully covered",IF(J784=0,"Not covered","Partly covered")))</f>
        <v>No wiki control</v>
      </c>
      <c r="L784" s="9" t="s">
        <v>2608</v>
      </c>
    </row>
    <row r="785" customFormat="false" ht="23.85" hidden="false" customHeight="false" outlineLevel="0" collapsed="false">
      <c r="A785" s="58" t="s">
        <v>614</v>
      </c>
      <c r="B785" s="58" t="s">
        <v>613</v>
      </c>
      <c r="C785" s="5" t="s">
        <v>2613</v>
      </c>
      <c r="D785" s="6" t="s">
        <v>2614</v>
      </c>
      <c r="E785" s="6" t="s">
        <v>356</v>
      </c>
      <c r="F785" s="6" t="s">
        <v>730</v>
      </c>
      <c r="G785" s="6" t="s">
        <v>359</v>
      </c>
      <c r="H785" s="6"/>
      <c r="I785" s="26" t="n">
        <v>1</v>
      </c>
      <c r="J785" s="26" t="n">
        <f aca="false">COUNTIFS('Control Library'!$A$5:$A$50,"AI-CTRL-023",'Control Library'!$R$5:$R$50,"Implemented")</f>
        <v>0</v>
      </c>
      <c r="K785" s="43" t="str">
        <f aca="false">IF(I785=0,"No wiki control",IF(J785=I785,"Fully covered",IF(J785=0,"Not covered","Partly covered")))</f>
        <v>Not covered</v>
      </c>
      <c r="L785" s="9" t="s">
        <v>2608</v>
      </c>
    </row>
    <row r="786" customFormat="false" ht="23.85" hidden="false" customHeight="false" outlineLevel="0" collapsed="false">
      <c r="A786" s="58" t="s">
        <v>614</v>
      </c>
      <c r="B786" s="58" t="s">
        <v>613</v>
      </c>
      <c r="C786" s="5" t="s">
        <v>2615</v>
      </c>
      <c r="D786" s="6" t="s">
        <v>2616</v>
      </c>
      <c r="E786" s="6"/>
      <c r="F786" s="6" t="s">
        <v>640</v>
      </c>
      <c r="G786" s="6"/>
      <c r="H786" s="6"/>
      <c r="I786" s="26" t="n">
        <v>0</v>
      </c>
      <c r="J786" s="26" t="n">
        <f aca="false">0</f>
        <v>0</v>
      </c>
      <c r="K786" s="43" t="str">
        <f aca="false">IF(I786=0,"No wiki control",IF(J786=I786,"Fully covered",IF(J786=0,"Not covered","Partly covered")))</f>
        <v>No wiki control</v>
      </c>
      <c r="L786" s="9" t="s">
        <v>2608</v>
      </c>
    </row>
    <row r="787" customFormat="false" ht="23.85" hidden="false" customHeight="false" outlineLevel="0" collapsed="false">
      <c r="A787" s="58" t="s">
        <v>614</v>
      </c>
      <c r="B787" s="58" t="s">
        <v>613</v>
      </c>
      <c r="C787" s="5" t="s">
        <v>2617</v>
      </c>
      <c r="D787" s="6" t="s">
        <v>2618</v>
      </c>
      <c r="E787" s="6" t="s">
        <v>2619</v>
      </c>
      <c r="F787" s="6" t="s">
        <v>730</v>
      </c>
      <c r="G787" s="6" t="s">
        <v>2620</v>
      </c>
      <c r="H787" s="6"/>
      <c r="I787" s="26" t="n">
        <v>3</v>
      </c>
      <c r="J787" s="26" t="n">
        <f aca="false">COUNTIFS('Control Library'!$A$5:$A$50,"AI-CTRL-011",'Control Library'!$R$5:$R$50,"Implemented")+COUNTIFS('Control Library'!$A$5:$A$50,"AI-CTRL-037",'Control Library'!$R$5:$R$50,"Implemented")+COUNTIFS('Control Library'!$A$5:$A$50,"AI-CTRL-038",'Control Library'!$R$5:$R$50,"Implemented")</f>
        <v>0</v>
      </c>
      <c r="K787" s="43" t="str">
        <f aca="false">IF(I787=0,"No wiki control",IF(J787=I787,"Fully covered",IF(J787=0,"Not covered","Partly covered")))</f>
        <v>Not covered</v>
      </c>
      <c r="L787" s="9" t="s">
        <v>2608</v>
      </c>
    </row>
    <row r="788" customFormat="false" ht="23.85" hidden="false" customHeight="false" outlineLevel="0" collapsed="false">
      <c r="A788" s="58" t="s">
        <v>614</v>
      </c>
      <c r="B788" s="58" t="s">
        <v>613</v>
      </c>
      <c r="C788" s="5" t="s">
        <v>2621</v>
      </c>
      <c r="D788" s="6" t="s">
        <v>2622</v>
      </c>
      <c r="E788" s="6" t="s">
        <v>272</v>
      </c>
      <c r="F788" s="6" t="s">
        <v>730</v>
      </c>
      <c r="G788" s="6" t="s">
        <v>276</v>
      </c>
      <c r="H788" s="6"/>
      <c r="I788" s="26" t="n">
        <v>1</v>
      </c>
      <c r="J788" s="26" t="n">
        <f aca="false">COUNTIFS('Control Library'!$A$5:$A$50,"AI-CTRL-013",'Control Library'!$R$5:$R$50,"Implemented")</f>
        <v>0</v>
      </c>
      <c r="K788" s="43" t="str">
        <f aca="false">IF(I788=0,"No wiki control",IF(J788=I788,"Fully covered",IF(J788=0,"Not covered","Partly covered")))</f>
        <v>Not covered</v>
      </c>
      <c r="L788" s="9" t="s">
        <v>2608</v>
      </c>
    </row>
    <row r="789" customFormat="false" ht="23.85" hidden="false" customHeight="false" outlineLevel="0" collapsed="false">
      <c r="A789" s="58" t="s">
        <v>614</v>
      </c>
      <c r="B789" s="58" t="s">
        <v>613</v>
      </c>
      <c r="C789" s="5" t="s">
        <v>2623</v>
      </c>
      <c r="D789" s="6" t="s">
        <v>2624</v>
      </c>
      <c r="E789" s="6" t="s">
        <v>1843</v>
      </c>
      <c r="F789" s="6" t="s">
        <v>730</v>
      </c>
      <c r="G789" s="6" t="s">
        <v>1844</v>
      </c>
      <c r="H789" s="6"/>
      <c r="I789" s="26" t="n">
        <v>3</v>
      </c>
      <c r="J789" s="26" t="n">
        <f aca="false">COUNTIFS('Control Library'!$A$5:$A$50,"AI-CTRL-007",'Control Library'!$R$5:$R$50,"Implemented")+COUNTIFS('Control Library'!$A$5:$A$50,"AI-CTRL-013",'Control Library'!$R$5:$R$50,"Implemented")+COUNTIFS('Control Library'!$A$5:$A$50,"AI-CTRL-017",'Control Library'!$R$5:$R$50,"Implemented")</f>
        <v>0</v>
      </c>
      <c r="K789" s="43" t="str">
        <f aca="false">IF(I789=0,"No wiki control",IF(J789=I789,"Fully covered",IF(J789=0,"Not covered","Partly covered")))</f>
        <v>Not covered</v>
      </c>
      <c r="L789" s="9" t="s">
        <v>2608</v>
      </c>
    </row>
    <row r="790" customFormat="false" ht="23.85" hidden="false" customHeight="false" outlineLevel="0" collapsed="false">
      <c r="A790" s="58" t="s">
        <v>614</v>
      </c>
      <c r="B790" s="58" t="s">
        <v>613</v>
      </c>
      <c r="C790" s="5" t="s">
        <v>2625</v>
      </c>
      <c r="D790" s="6" t="s">
        <v>2626</v>
      </c>
      <c r="E790" s="6"/>
      <c r="F790" s="6" t="s">
        <v>640</v>
      </c>
      <c r="G790" s="6"/>
      <c r="H790" s="6"/>
      <c r="I790" s="26" t="n">
        <v>0</v>
      </c>
      <c r="J790" s="26" t="n">
        <f aca="false">0</f>
        <v>0</v>
      </c>
      <c r="K790" s="43" t="str">
        <f aca="false">IF(I790=0,"No wiki control",IF(J790=I790,"Fully covered",IF(J790=0,"Not covered","Partly covered")))</f>
        <v>No wiki control</v>
      </c>
      <c r="L790" s="9" t="s">
        <v>2608</v>
      </c>
    </row>
    <row r="791" customFormat="false" ht="35.05" hidden="false" customHeight="false" outlineLevel="0" collapsed="false">
      <c r="A791" s="58" t="s">
        <v>614</v>
      </c>
      <c r="B791" s="58" t="s">
        <v>613</v>
      </c>
      <c r="C791" s="5" t="s">
        <v>2627</v>
      </c>
      <c r="D791" s="6" t="s">
        <v>2628</v>
      </c>
      <c r="E791" s="6" t="s">
        <v>2629</v>
      </c>
      <c r="F791" s="6" t="s">
        <v>730</v>
      </c>
      <c r="G791" s="6" t="s">
        <v>2630</v>
      </c>
      <c r="H791" s="6"/>
      <c r="I791" s="26" t="n">
        <v>3</v>
      </c>
      <c r="J791" s="26" t="n">
        <f aca="false">COUNTIFS('Control Library'!$A$5:$A$50,"AI-CTRL-012",'Control Library'!$R$5:$R$50,"Implemented")+COUNTIFS('Control Library'!$A$5:$A$50,"AI-CTRL-039",'Control Library'!$R$5:$R$50,"Implemented")+COUNTIFS('Control Library'!$A$5:$A$50,"AI-CTRL-041",'Control Library'!$R$5:$R$50,"Implemented")</f>
        <v>0</v>
      </c>
      <c r="K791" s="43" t="str">
        <f aca="false">IF(I791=0,"No wiki control",IF(J791=I791,"Fully covered",IF(J791=0,"Not covered","Partly covered")))</f>
        <v>Not covered</v>
      </c>
      <c r="L791" s="9" t="s">
        <v>2608</v>
      </c>
    </row>
    <row r="792" customFormat="false" ht="46.25" hidden="false" customHeight="false" outlineLevel="0" collapsed="false">
      <c r="A792" s="58" t="s">
        <v>614</v>
      </c>
      <c r="B792" s="58" t="s">
        <v>613</v>
      </c>
      <c r="C792" s="5" t="s">
        <v>2631</v>
      </c>
      <c r="D792" s="6" t="s">
        <v>2632</v>
      </c>
      <c r="E792" s="6" t="s">
        <v>2633</v>
      </c>
      <c r="F792" s="6" t="s">
        <v>730</v>
      </c>
      <c r="G792" s="6" t="s">
        <v>2634</v>
      </c>
      <c r="H792" s="6"/>
      <c r="I792" s="26" t="n">
        <v>4</v>
      </c>
      <c r="J792" s="26" t="n">
        <f aca="false">COUNTIFS('Control Library'!$A$5:$A$50,"AI-CTRL-011",'Control Library'!$R$5:$R$50,"Implemented")+COUNTIFS('Control Library'!$A$5:$A$50,"AI-CTRL-023",'Control Library'!$R$5:$R$50,"Implemented")+COUNTIFS('Control Library'!$A$5:$A$50,"AI-CTRL-033",'Control Library'!$R$5:$R$50,"Implemented")+COUNTIFS('Control Library'!$A$5:$A$50,"AI-CTRL-041",'Control Library'!$R$5:$R$50,"Implemented")</f>
        <v>0</v>
      </c>
      <c r="K792" s="43" t="str">
        <f aca="false">IF(I792=0,"No wiki control",IF(J792=I792,"Fully covered",IF(J792=0,"Not covered","Partly covered")))</f>
        <v>Not covered</v>
      </c>
      <c r="L792" s="9" t="s">
        <v>2608</v>
      </c>
    </row>
    <row r="793" customFormat="false" ht="23.85" hidden="false" customHeight="false" outlineLevel="0" collapsed="false">
      <c r="A793" s="58" t="s">
        <v>614</v>
      </c>
      <c r="B793" s="58" t="s">
        <v>613</v>
      </c>
      <c r="C793" s="5" t="s">
        <v>2635</v>
      </c>
      <c r="D793" s="6" t="s">
        <v>2636</v>
      </c>
      <c r="E793" s="6" t="s">
        <v>1843</v>
      </c>
      <c r="F793" s="6" t="s">
        <v>730</v>
      </c>
      <c r="G793" s="6" t="s">
        <v>1844</v>
      </c>
      <c r="H793" s="6"/>
      <c r="I793" s="26" t="n">
        <v>3</v>
      </c>
      <c r="J793" s="26" t="n">
        <f aca="false">COUNTIFS('Control Library'!$A$5:$A$50,"AI-CTRL-007",'Control Library'!$R$5:$R$50,"Implemented")+COUNTIFS('Control Library'!$A$5:$A$50,"AI-CTRL-013",'Control Library'!$R$5:$R$50,"Implemented")+COUNTIFS('Control Library'!$A$5:$A$50,"AI-CTRL-017",'Control Library'!$R$5:$R$50,"Implemented")</f>
        <v>0</v>
      </c>
      <c r="K793" s="43" t="str">
        <f aca="false">IF(I793=0,"No wiki control",IF(J793=I793,"Fully covered",IF(J793=0,"Not covered","Partly covered")))</f>
        <v>Not covered</v>
      </c>
      <c r="L793" s="9" t="s">
        <v>2608</v>
      </c>
    </row>
    <row r="794" customFormat="false" ht="35.05" hidden="false" customHeight="false" outlineLevel="0" collapsed="false">
      <c r="A794" s="58" t="s">
        <v>614</v>
      </c>
      <c r="B794" s="58" t="s">
        <v>613</v>
      </c>
      <c r="C794" s="5" t="s">
        <v>2637</v>
      </c>
      <c r="D794" s="6" t="s">
        <v>2638</v>
      </c>
      <c r="E794" s="6" t="s">
        <v>2629</v>
      </c>
      <c r="F794" s="6" t="s">
        <v>730</v>
      </c>
      <c r="G794" s="6" t="s">
        <v>2630</v>
      </c>
      <c r="H794" s="6"/>
      <c r="I794" s="26" t="n">
        <v>3</v>
      </c>
      <c r="J794" s="26" t="n">
        <f aca="false">COUNTIFS('Control Library'!$A$5:$A$50,"AI-CTRL-012",'Control Library'!$R$5:$R$50,"Implemented")+COUNTIFS('Control Library'!$A$5:$A$50,"AI-CTRL-039",'Control Library'!$R$5:$R$50,"Implemented")+COUNTIFS('Control Library'!$A$5:$A$50,"AI-CTRL-041",'Control Library'!$R$5:$R$50,"Implemented")</f>
        <v>0</v>
      </c>
      <c r="K794" s="43" t="str">
        <f aca="false">IF(I794=0,"No wiki control",IF(J794=I794,"Fully covered",IF(J794=0,"Not covered","Partly covered")))</f>
        <v>Not covered</v>
      </c>
      <c r="L794" s="9" t="s">
        <v>2608</v>
      </c>
    </row>
    <row r="795" customFormat="false" ht="23.85" hidden="false" customHeight="false" outlineLevel="0" collapsed="false">
      <c r="A795" s="58" t="s">
        <v>614</v>
      </c>
      <c r="B795" s="58" t="s">
        <v>613</v>
      </c>
      <c r="C795" s="5" t="s">
        <v>2639</v>
      </c>
      <c r="D795" s="6" t="s">
        <v>2640</v>
      </c>
      <c r="E795" s="6" t="s">
        <v>2641</v>
      </c>
      <c r="F795" s="6" t="s">
        <v>730</v>
      </c>
      <c r="G795" s="6" t="s">
        <v>1012</v>
      </c>
      <c r="H795" s="6"/>
      <c r="I795" s="26" t="n">
        <v>3</v>
      </c>
      <c r="J795" s="26" t="n">
        <f aca="false">COUNTIFS('Control Library'!$A$5:$A$50,"AI-CTRL-002",'Control Library'!$R$5:$R$50,"Implemented")+COUNTIFS('Control Library'!$A$5:$A$50,"AI-CTRL-010",'Control Library'!$R$5:$R$50,"Implemented")+COUNTIFS('Control Library'!$A$5:$A$50,"AI-CTRL-012",'Control Library'!$R$5:$R$50,"Implemented")</f>
        <v>0</v>
      </c>
      <c r="K795" s="43" t="str">
        <f aca="false">IF(I795=0,"No wiki control",IF(J795=I795,"Fully covered",IF(J795=0,"Not covered","Partly covered")))</f>
        <v>Not covered</v>
      </c>
      <c r="L795" s="9" t="s">
        <v>2608</v>
      </c>
    </row>
    <row r="796" customFormat="false" ht="23.85" hidden="false" customHeight="false" outlineLevel="0" collapsed="false">
      <c r="A796" s="58" t="s">
        <v>614</v>
      </c>
      <c r="B796" s="58" t="s">
        <v>613</v>
      </c>
      <c r="C796" s="5" t="s">
        <v>2642</v>
      </c>
      <c r="D796" s="6" t="s">
        <v>2643</v>
      </c>
      <c r="E796" s="6"/>
      <c r="F796" s="6" t="s">
        <v>640</v>
      </c>
      <c r="G796" s="6"/>
      <c r="H796" s="6"/>
      <c r="I796" s="26" t="n">
        <v>0</v>
      </c>
      <c r="J796" s="26" t="n">
        <f aca="false">0</f>
        <v>0</v>
      </c>
      <c r="K796" s="43" t="str">
        <f aca="false">IF(I796=0,"No wiki control",IF(J796=I796,"Fully covered",IF(J796=0,"Not covered","Partly covered")))</f>
        <v>No wiki control</v>
      </c>
      <c r="L796" s="9" t="s">
        <v>2608</v>
      </c>
    </row>
    <row r="797" customFormat="false" ht="23.85" hidden="false" customHeight="false" outlineLevel="0" collapsed="false">
      <c r="A797" s="58" t="s">
        <v>614</v>
      </c>
      <c r="B797" s="58" t="s">
        <v>613</v>
      </c>
      <c r="C797" s="5" t="s">
        <v>2644</v>
      </c>
      <c r="D797" s="6" t="s">
        <v>2645</v>
      </c>
      <c r="E797" s="6" t="s">
        <v>470</v>
      </c>
      <c r="F797" s="6" t="s">
        <v>730</v>
      </c>
      <c r="G797" s="6" t="s">
        <v>473</v>
      </c>
      <c r="H797" s="6"/>
      <c r="I797" s="26" t="n">
        <v>1</v>
      </c>
      <c r="J797" s="26" t="n">
        <f aca="false">COUNTIFS('Control Library'!$A$5:$A$50,"AI-CTRL-037",'Control Library'!$R$5:$R$50,"Implemented")</f>
        <v>0</v>
      </c>
      <c r="K797" s="43" t="str">
        <f aca="false">IF(I797=0,"No wiki control",IF(J797=I797,"Fully covered",IF(J797=0,"Not covered","Partly covered")))</f>
        <v>Not covered</v>
      </c>
      <c r="L797" s="9" t="s">
        <v>2608</v>
      </c>
    </row>
    <row r="798" customFormat="false" ht="35.05" hidden="false" customHeight="false" outlineLevel="0" collapsed="false">
      <c r="A798" s="58" t="s">
        <v>614</v>
      </c>
      <c r="B798" s="58" t="s">
        <v>613</v>
      </c>
      <c r="C798" s="5" t="s">
        <v>2646</v>
      </c>
      <c r="D798" s="6" t="s">
        <v>2647</v>
      </c>
      <c r="E798" s="6" t="s">
        <v>2648</v>
      </c>
      <c r="F798" s="6" t="s">
        <v>730</v>
      </c>
      <c r="G798" s="6" t="s">
        <v>2649</v>
      </c>
      <c r="H798" s="6"/>
      <c r="I798" s="26" t="n">
        <v>3</v>
      </c>
      <c r="J798" s="26" t="n">
        <f aca="false">COUNTIFS('Control Library'!$A$5:$A$50,"AI-CTRL-005",'Control Library'!$R$5:$R$50,"Implemented")+COUNTIFS('Control Library'!$A$5:$A$50,"AI-CTRL-008",'Control Library'!$R$5:$R$50,"Implemented")+COUNTIFS('Control Library'!$A$5:$A$50,"AI-CTRL-032",'Control Library'!$R$5:$R$50,"Implemented")</f>
        <v>0</v>
      </c>
      <c r="K798" s="43" t="str">
        <f aca="false">IF(I798=0,"No wiki control",IF(J798=I798,"Fully covered",IF(J798=0,"Not covered","Partly covered")))</f>
        <v>Not covered</v>
      </c>
      <c r="L798" s="9" t="s">
        <v>2608</v>
      </c>
    </row>
    <row r="799" customFormat="false" ht="35.05" hidden="false" customHeight="false" outlineLevel="0" collapsed="false">
      <c r="A799" s="58" t="s">
        <v>614</v>
      </c>
      <c r="B799" s="58" t="s">
        <v>613</v>
      </c>
      <c r="C799" s="5" t="s">
        <v>2650</v>
      </c>
      <c r="D799" s="6" t="s">
        <v>2651</v>
      </c>
      <c r="E799" s="6" t="s">
        <v>2648</v>
      </c>
      <c r="F799" s="6" t="s">
        <v>730</v>
      </c>
      <c r="G799" s="6" t="s">
        <v>2649</v>
      </c>
      <c r="H799" s="6"/>
      <c r="I799" s="26" t="n">
        <v>3</v>
      </c>
      <c r="J799" s="26" t="n">
        <f aca="false">COUNTIFS('Control Library'!$A$5:$A$50,"AI-CTRL-005",'Control Library'!$R$5:$R$50,"Implemented")+COUNTIFS('Control Library'!$A$5:$A$50,"AI-CTRL-008",'Control Library'!$R$5:$R$50,"Implemented")+COUNTIFS('Control Library'!$A$5:$A$50,"AI-CTRL-032",'Control Library'!$R$5:$R$50,"Implemented")</f>
        <v>0</v>
      </c>
      <c r="K799" s="43" t="str">
        <f aca="false">IF(I799=0,"No wiki control",IF(J799=I799,"Fully covered",IF(J799=0,"Not covered","Partly covered")))</f>
        <v>Not covered</v>
      </c>
      <c r="L799" s="9" t="s">
        <v>2608</v>
      </c>
    </row>
    <row r="800" customFormat="false" ht="23.85" hidden="false" customHeight="false" outlineLevel="0" collapsed="false">
      <c r="A800" s="58" t="s">
        <v>614</v>
      </c>
      <c r="B800" s="58" t="s">
        <v>613</v>
      </c>
      <c r="C800" s="5" t="s">
        <v>2652</v>
      </c>
      <c r="D800" s="6" t="s">
        <v>2653</v>
      </c>
      <c r="E800" s="6"/>
      <c r="F800" s="6" t="s">
        <v>640</v>
      </c>
      <c r="G800" s="6"/>
      <c r="H800" s="6"/>
      <c r="I800" s="26" t="n">
        <v>0</v>
      </c>
      <c r="J800" s="26" t="n">
        <f aca="false">0</f>
        <v>0</v>
      </c>
      <c r="K800" s="43" t="str">
        <f aca="false">IF(I800=0,"No wiki control",IF(J800=I800,"Fully covered",IF(J800=0,"Not covered","Partly covered")))</f>
        <v>No wiki control</v>
      </c>
      <c r="L800" s="9" t="s">
        <v>2608</v>
      </c>
    </row>
    <row r="801" customFormat="false" ht="23.85" hidden="false" customHeight="false" outlineLevel="0" collapsed="false">
      <c r="A801" s="58" t="s">
        <v>614</v>
      </c>
      <c r="B801" s="58" t="s">
        <v>613</v>
      </c>
      <c r="C801" s="5" t="s">
        <v>2654</v>
      </c>
      <c r="D801" s="6" t="s">
        <v>2655</v>
      </c>
      <c r="E801" s="6" t="s">
        <v>404</v>
      </c>
      <c r="F801" s="6" t="s">
        <v>730</v>
      </c>
      <c r="G801" s="6" t="s">
        <v>399</v>
      </c>
      <c r="H801" s="6"/>
      <c r="I801" s="26" t="n">
        <v>1</v>
      </c>
      <c r="J801" s="26" t="n">
        <f aca="false">COUNTIFS('Control Library'!$A$5:$A$50,"AI-CTRL-029",'Control Library'!$R$5:$R$50,"Implemented")</f>
        <v>0</v>
      </c>
      <c r="K801" s="43" t="str">
        <f aca="false">IF(I801=0,"No wiki control",IF(J801=I801,"Fully covered",IF(J801=0,"Not covered","Partly covered")))</f>
        <v>Not covered</v>
      </c>
      <c r="L801" s="9" t="s">
        <v>2608</v>
      </c>
    </row>
    <row r="802" customFormat="false" ht="23.85" hidden="false" customHeight="false" outlineLevel="0" collapsed="false">
      <c r="A802" s="58" t="s">
        <v>614</v>
      </c>
      <c r="B802" s="58" t="s">
        <v>613</v>
      </c>
      <c r="C802" s="5" t="s">
        <v>2656</v>
      </c>
      <c r="D802" s="6" t="s">
        <v>2657</v>
      </c>
      <c r="E802" s="6" t="s">
        <v>219</v>
      </c>
      <c r="F802" s="6" t="s">
        <v>730</v>
      </c>
      <c r="G802" s="6" t="s">
        <v>224</v>
      </c>
      <c r="H802" s="6"/>
      <c r="I802" s="26" t="n">
        <v>1</v>
      </c>
      <c r="J802" s="26" t="n">
        <f aca="false">COUNTIFS('Control Library'!$A$5:$A$50,"AI-CTRL-007",'Control Library'!$R$5:$R$50,"Implemented")</f>
        <v>0</v>
      </c>
      <c r="K802" s="43" t="str">
        <f aca="false">IF(I802=0,"No wiki control",IF(J802=I802,"Fully covered",IF(J802=0,"Not covered","Partly covered")))</f>
        <v>Not covered</v>
      </c>
      <c r="L802" s="9" t="s">
        <v>2608</v>
      </c>
    </row>
    <row r="803" customFormat="false" ht="35.05" hidden="false" customHeight="false" outlineLevel="0" collapsed="false">
      <c r="A803" s="58" t="s">
        <v>614</v>
      </c>
      <c r="B803" s="58" t="s">
        <v>613</v>
      </c>
      <c r="C803" s="5" t="s">
        <v>2658</v>
      </c>
      <c r="D803" s="6" t="s">
        <v>2659</v>
      </c>
      <c r="E803" s="6" t="s">
        <v>2660</v>
      </c>
      <c r="F803" s="6" t="s">
        <v>730</v>
      </c>
      <c r="G803" s="6" t="s">
        <v>2661</v>
      </c>
      <c r="H803" s="6"/>
      <c r="I803" s="26" t="n">
        <v>4</v>
      </c>
      <c r="J803" s="26" t="n">
        <f aca="false">COUNTIFS('Control Library'!$A$5:$A$50,"AI-CTRL-007",'Control Library'!$R$5:$R$50,"Implemented")+COUNTIFS('Control Library'!$A$5:$A$50,"AI-CTRL-013",'Control Library'!$R$5:$R$50,"Implemented")+COUNTIFS('Control Library'!$A$5:$A$50,"AI-CTRL-017",'Control Library'!$R$5:$R$50,"Implemented")+COUNTIFS('Control Library'!$A$5:$A$50,"AI-CTRL-035",'Control Library'!$R$5:$R$50,"Implemented")</f>
        <v>0</v>
      </c>
      <c r="K803" s="43" t="str">
        <f aca="false">IF(I803=0,"No wiki control",IF(J803=I803,"Fully covered",IF(J803=0,"Not covered","Partly covered")))</f>
        <v>Not covered</v>
      </c>
      <c r="L803" s="9" t="s">
        <v>2608</v>
      </c>
    </row>
    <row r="804" customFormat="false" ht="23.85" hidden="false" customHeight="false" outlineLevel="0" collapsed="false">
      <c r="A804" s="58" t="s">
        <v>614</v>
      </c>
      <c r="B804" s="58" t="s">
        <v>613</v>
      </c>
      <c r="C804" s="5" t="s">
        <v>2662</v>
      </c>
      <c r="D804" s="6" t="s">
        <v>2663</v>
      </c>
      <c r="E804" s="6" t="s">
        <v>2664</v>
      </c>
      <c r="F804" s="6" t="s">
        <v>730</v>
      </c>
      <c r="G804" s="6" t="s">
        <v>2665</v>
      </c>
      <c r="H804" s="6"/>
      <c r="I804" s="26" t="n">
        <v>3</v>
      </c>
      <c r="J804" s="26" t="n">
        <f aca="false">COUNTIFS('Control Library'!$A$5:$A$50,"AI-CTRL-005",'Control Library'!$R$5:$R$50,"Implemented")+COUNTIFS('Control Library'!$A$5:$A$50,"AI-CTRL-028",'Control Library'!$R$5:$R$50,"Implemented")+COUNTIFS('Control Library'!$A$5:$A$50,"AI-CTRL-035",'Control Library'!$R$5:$R$50,"Implemented")</f>
        <v>0</v>
      </c>
      <c r="K804" s="43" t="str">
        <f aca="false">IF(I804=0,"No wiki control",IF(J804=I804,"Fully covered",IF(J804=0,"Not covered","Partly covered")))</f>
        <v>Not covered</v>
      </c>
      <c r="L804" s="9" t="s">
        <v>2608</v>
      </c>
    </row>
    <row r="805" customFormat="false" ht="35.05" hidden="false" customHeight="false" outlineLevel="0" collapsed="false">
      <c r="A805" s="58" t="s">
        <v>614</v>
      </c>
      <c r="B805" s="58" t="s">
        <v>613</v>
      </c>
      <c r="C805" s="5" t="s">
        <v>2666</v>
      </c>
      <c r="D805" s="6" t="s">
        <v>2667</v>
      </c>
      <c r="E805" s="6" t="s">
        <v>2668</v>
      </c>
      <c r="F805" s="6" t="s">
        <v>730</v>
      </c>
      <c r="G805" s="6" t="s">
        <v>2669</v>
      </c>
      <c r="H805" s="6"/>
      <c r="I805" s="26" t="n">
        <v>3</v>
      </c>
      <c r="J805" s="26" t="n">
        <f aca="false">COUNTIFS('Control Library'!$A$5:$A$50,"AI-CTRL-012",'Control Library'!$R$5:$R$50,"Implemented")+COUNTIFS('Control Library'!$A$5:$A$50,"AI-CTRL-023",'Control Library'!$R$5:$R$50,"Implemented")+COUNTIFS('Control Library'!$A$5:$A$50,"AI-CTRL-039",'Control Library'!$R$5:$R$50,"Implemented")</f>
        <v>0</v>
      </c>
      <c r="K805" s="43" t="str">
        <f aca="false">IF(I805=0,"No wiki control",IF(J805=I805,"Fully covered",IF(J805=0,"Not covered","Partly covered")))</f>
        <v>Not covered</v>
      </c>
      <c r="L805" s="9" t="s">
        <v>2608</v>
      </c>
    </row>
    <row r="806" customFormat="false" ht="35.05" hidden="false" customHeight="false" outlineLevel="0" collapsed="false">
      <c r="A806" s="58" t="s">
        <v>614</v>
      </c>
      <c r="B806" s="58" t="s">
        <v>613</v>
      </c>
      <c r="C806" s="5" t="s">
        <v>2670</v>
      </c>
      <c r="D806" s="6" t="s">
        <v>2671</v>
      </c>
      <c r="E806" s="6" t="s">
        <v>2629</v>
      </c>
      <c r="F806" s="6" t="s">
        <v>730</v>
      </c>
      <c r="G806" s="6" t="s">
        <v>2630</v>
      </c>
      <c r="H806" s="6"/>
      <c r="I806" s="26" t="n">
        <v>3</v>
      </c>
      <c r="J806" s="26" t="n">
        <f aca="false">COUNTIFS('Control Library'!$A$5:$A$50,"AI-CTRL-012",'Control Library'!$R$5:$R$50,"Implemented")+COUNTIFS('Control Library'!$A$5:$A$50,"AI-CTRL-039",'Control Library'!$R$5:$R$50,"Implemented")+COUNTIFS('Control Library'!$A$5:$A$50,"AI-CTRL-041",'Control Library'!$R$5:$R$50,"Implemented")</f>
        <v>0</v>
      </c>
      <c r="K806" s="43" t="str">
        <f aca="false">IF(I806=0,"No wiki control",IF(J806=I806,"Fully covered",IF(J806=0,"Not covered","Partly covered")))</f>
        <v>Not covered</v>
      </c>
      <c r="L806" s="9" t="s">
        <v>2608</v>
      </c>
    </row>
    <row r="807" customFormat="false" ht="23.85" hidden="false" customHeight="false" outlineLevel="0" collapsed="false">
      <c r="A807" s="58" t="s">
        <v>614</v>
      </c>
      <c r="B807" s="58" t="s">
        <v>613</v>
      </c>
      <c r="C807" s="5" t="s">
        <v>2672</v>
      </c>
      <c r="D807" s="6" t="s">
        <v>2673</v>
      </c>
      <c r="E807" s="6" t="s">
        <v>2674</v>
      </c>
      <c r="F807" s="6" t="s">
        <v>730</v>
      </c>
      <c r="G807" s="6" t="s">
        <v>2675</v>
      </c>
      <c r="H807" s="6"/>
      <c r="I807" s="26" t="n">
        <v>2</v>
      </c>
      <c r="J807" s="26" t="n">
        <f aca="false">COUNTIFS('Control Library'!$A$5:$A$50,"AI-CTRL-013",'Control Library'!$R$5:$R$50,"Implemented")+COUNTIFS('Control Library'!$A$5:$A$50,"AI-CTRL-038",'Control Library'!$R$5:$R$50,"Implemented")</f>
        <v>0</v>
      </c>
      <c r="K807" s="43" t="str">
        <f aca="false">IF(I807=0,"No wiki control",IF(J807=I807,"Fully covered",IF(J807=0,"Not covered","Partly covered")))</f>
        <v>Not covered</v>
      </c>
      <c r="L807" s="9" t="s">
        <v>2608</v>
      </c>
    </row>
    <row r="808" customFormat="false" ht="46.25" hidden="false" customHeight="false" outlineLevel="0" collapsed="false">
      <c r="A808" s="58" t="s">
        <v>614</v>
      </c>
      <c r="B808" s="58" t="s">
        <v>613</v>
      </c>
      <c r="C808" s="5" t="s">
        <v>2676</v>
      </c>
      <c r="D808" s="6" t="s">
        <v>2677</v>
      </c>
      <c r="E808" s="6" t="s">
        <v>2678</v>
      </c>
      <c r="F808" s="6" t="s">
        <v>730</v>
      </c>
      <c r="G808" s="6" t="s">
        <v>2679</v>
      </c>
      <c r="H808" s="6"/>
      <c r="I808" s="26" t="n">
        <v>4</v>
      </c>
      <c r="J808" s="26" t="n">
        <f aca="false">COUNTIFS('Control Library'!$A$5:$A$50,"AI-CTRL-011",'Control Library'!$R$5:$R$50,"Implemented")+COUNTIFS('Control Library'!$A$5:$A$50,"AI-CTRL-013",'Control Library'!$R$5:$R$50,"Implemented")+COUNTIFS('Control Library'!$A$5:$A$50,"AI-CTRL-023",'Control Library'!$R$5:$R$50,"Implemented")+COUNTIFS('Control Library'!$A$5:$A$50,"AI-CTRL-041",'Control Library'!$R$5:$R$50,"Implemented")</f>
        <v>0</v>
      </c>
      <c r="K808" s="43" t="str">
        <f aca="false">IF(I808=0,"No wiki control",IF(J808=I808,"Fully covered",IF(J808=0,"Not covered","Partly covered")))</f>
        <v>Not covered</v>
      </c>
      <c r="L808" s="9" t="s">
        <v>2608</v>
      </c>
    </row>
    <row r="809" customFormat="false" ht="23.85" hidden="false" customHeight="false" outlineLevel="0" collapsed="false">
      <c r="A809" s="58" t="s">
        <v>614</v>
      </c>
      <c r="B809" s="58" t="s">
        <v>613</v>
      </c>
      <c r="C809" s="5" t="s">
        <v>2680</v>
      </c>
      <c r="D809" s="6" t="s">
        <v>2681</v>
      </c>
      <c r="E809" s="6" t="s">
        <v>2245</v>
      </c>
      <c r="F809" s="6" t="s">
        <v>730</v>
      </c>
      <c r="G809" s="6" t="s">
        <v>276</v>
      </c>
      <c r="H809" s="6"/>
      <c r="I809" s="26" t="n">
        <v>2</v>
      </c>
      <c r="J809" s="26" t="n">
        <f aca="false">COUNTIFS('Control Library'!$A$5:$A$50,"AI-CTRL-007",'Control Library'!$R$5:$R$50,"Implemented")+COUNTIFS('Control Library'!$A$5:$A$50,"AI-CTRL-013",'Control Library'!$R$5:$R$50,"Implemented")</f>
        <v>0</v>
      </c>
      <c r="K809" s="43" t="str">
        <f aca="false">IF(I809=0,"No wiki control",IF(J809=I809,"Fully covered",IF(J809=0,"Not covered","Partly covered")))</f>
        <v>Not covered</v>
      </c>
      <c r="L809" s="9" t="s">
        <v>2608</v>
      </c>
    </row>
    <row r="810" customFormat="false" ht="23.85" hidden="false" customHeight="false" outlineLevel="0" collapsed="false">
      <c r="A810" s="58" t="s">
        <v>614</v>
      </c>
      <c r="B810" s="58" t="s">
        <v>613</v>
      </c>
      <c r="C810" s="5" t="s">
        <v>2682</v>
      </c>
      <c r="D810" s="6" t="s">
        <v>2683</v>
      </c>
      <c r="E810" s="6"/>
      <c r="F810" s="6" t="s">
        <v>640</v>
      </c>
      <c r="G810" s="6"/>
      <c r="H810" s="6"/>
      <c r="I810" s="26" t="n">
        <v>0</v>
      </c>
      <c r="J810" s="26" t="n">
        <f aca="false">0</f>
        <v>0</v>
      </c>
      <c r="K810" s="43" t="str">
        <f aca="false">IF(I810=0,"No wiki control",IF(J810=I810,"Fully covered",IF(J810=0,"Not covered","Partly covered")))</f>
        <v>No wiki control</v>
      </c>
      <c r="L810" s="9" t="s">
        <v>2608</v>
      </c>
    </row>
    <row r="811" customFormat="false" ht="46.25" hidden="false" customHeight="false" outlineLevel="0" collapsed="false">
      <c r="A811" s="58" t="s">
        <v>614</v>
      </c>
      <c r="B811" s="58" t="s">
        <v>613</v>
      </c>
      <c r="C811" s="5" t="s">
        <v>2684</v>
      </c>
      <c r="D811" s="6" t="s">
        <v>2685</v>
      </c>
      <c r="E811" s="6" t="s">
        <v>2686</v>
      </c>
      <c r="F811" s="6" t="s">
        <v>730</v>
      </c>
      <c r="G811" s="6" t="s">
        <v>2687</v>
      </c>
      <c r="H811" s="6"/>
      <c r="I811" s="26" t="n">
        <v>5</v>
      </c>
      <c r="J811" s="26" t="n">
        <f aca="false">COUNTIFS('Control Library'!$A$5:$A$50,"AI-CTRL-011",'Control Library'!$R$5:$R$50,"Implemented")+COUNTIFS('Control Library'!$A$5:$A$50,"AI-CTRL-014",'Control Library'!$R$5:$R$50,"Implemented")+COUNTIFS('Control Library'!$A$5:$A$50,"AI-CTRL-023",'Control Library'!$R$5:$R$50,"Implemented")+COUNTIFS('Control Library'!$A$5:$A$50,"AI-CTRL-025",'Control Library'!$R$5:$R$50,"Implemented")+COUNTIFS('Control Library'!$A$5:$A$50,"AI-CTRL-041",'Control Library'!$R$5:$R$50,"Implemented")</f>
        <v>0</v>
      </c>
      <c r="K811" s="43" t="str">
        <f aca="false">IF(I811=0,"No wiki control",IF(J811=I811,"Fully covered",IF(J811=0,"Not covered","Partly covered")))</f>
        <v>Not covered</v>
      </c>
      <c r="L811" s="9" t="s">
        <v>2608</v>
      </c>
    </row>
    <row r="812" customFormat="false" ht="23.85" hidden="false" customHeight="false" outlineLevel="0" collapsed="false">
      <c r="A812" s="58" t="s">
        <v>614</v>
      </c>
      <c r="B812" s="58" t="s">
        <v>613</v>
      </c>
      <c r="C812" s="5" t="s">
        <v>2688</v>
      </c>
      <c r="D812" s="6" t="s">
        <v>2689</v>
      </c>
      <c r="E812" s="6"/>
      <c r="F812" s="6" t="s">
        <v>640</v>
      </c>
      <c r="G812" s="6"/>
      <c r="H812" s="6"/>
      <c r="I812" s="26" t="n">
        <v>0</v>
      </c>
      <c r="J812" s="26" t="n">
        <f aca="false">0</f>
        <v>0</v>
      </c>
      <c r="K812" s="43" t="str">
        <f aca="false">IF(I812=0,"No wiki control",IF(J812=I812,"Fully covered",IF(J812=0,"Not covered","Partly covered")))</f>
        <v>No wiki control</v>
      </c>
      <c r="L812" s="9" t="s">
        <v>2608</v>
      </c>
    </row>
    <row r="813" customFormat="false" ht="35.05" hidden="false" customHeight="false" outlineLevel="0" collapsed="false">
      <c r="A813" s="58" t="s">
        <v>614</v>
      </c>
      <c r="B813" s="58" t="s">
        <v>613</v>
      </c>
      <c r="C813" s="5" t="s">
        <v>2690</v>
      </c>
      <c r="D813" s="6" t="s">
        <v>2691</v>
      </c>
      <c r="E813" s="6" t="s">
        <v>2692</v>
      </c>
      <c r="F813" s="6" t="s">
        <v>730</v>
      </c>
      <c r="G813" s="6" t="s">
        <v>2649</v>
      </c>
      <c r="H813" s="6"/>
      <c r="I813" s="26" t="n">
        <v>4</v>
      </c>
      <c r="J813" s="26" t="n">
        <f aca="false">COUNTIFS('Control Library'!$A$5:$A$50,"AI-CTRL-005",'Control Library'!$R$5:$R$50,"Implemented")+COUNTIFS('Control Library'!$A$5:$A$50,"AI-CTRL-008",'Control Library'!$R$5:$R$50,"Implemented")+COUNTIFS('Control Library'!$A$5:$A$50,"AI-CTRL-009",'Control Library'!$R$5:$R$50,"Implemented")+COUNTIFS('Control Library'!$A$5:$A$50,"AI-CTRL-032",'Control Library'!$R$5:$R$50,"Implemented")</f>
        <v>0</v>
      </c>
      <c r="K813" s="43" t="str">
        <f aca="false">IF(I813=0,"No wiki control",IF(J813=I813,"Fully covered",IF(J813=0,"Not covered","Partly covered")))</f>
        <v>Not covered</v>
      </c>
      <c r="L813" s="9" t="s">
        <v>2608</v>
      </c>
    </row>
    <row r="814" customFormat="false" ht="35.05" hidden="false" customHeight="false" outlineLevel="0" collapsed="false">
      <c r="A814" s="58" t="s">
        <v>614</v>
      </c>
      <c r="B814" s="58" t="s">
        <v>613</v>
      </c>
      <c r="C814" s="5" t="s">
        <v>2693</v>
      </c>
      <c r="D814" s="6" t="s">
        <v>2694</v>
      </c>
      <c r="E814" s="6" t="s">
        <v>2496</v>
      </c>
      <c r="F814" s="6" t="s">
        <v>730</v>
      </c>
      <c r="G814" s="6" t="s">
        <v>2497</v>
      </c>
      <c r="H814" s="6"/>
      <c r="I814" s="26" t="n">
        <v>2</v>
      </c>
      <c r="J814" s="26" t="n">
        <f aca="false">COUNTIFS('Control Library'!$A$5:$A$50,"AI-CTRL-012",'Control Library'!$R$5:$R$50,"Implemented")+COUNTIFS('Control Library'!$A$5:$A$50,"AI-CTRL-038",'Control Library'!$R$5:$R$50,"Implemented")</f>
        <v>0</v>
      </c>
      <c r="K814" s="43" t="str">
        <f aca="false">IF(I814=0,"No wiki control",IF(J814=I814,"Fully covered",IF(J814=0,"Not covered","Partly covered")))</f>
        <v>Not covered</v>
      </c>
      <c r="L814" s="9" t="s">
        <v>2608</v>
      </c>
    </row>
    <row r="815" customFormat="false" ht="35.05" hidden="false" customHeight="false" outlineLevel="0" collapsed="false">
      <c r="A815" s="58" t="s">
        <v>615</v>
      </c>
      <c r="B815" s="58" t="s">
        <v>613</v>
      </c>
      <c r="C815" s="5" t="s">
        <v>2695</v>
      </c>
      <c r="D815" s="6" t="s">
        <v>2696</v>
      </c>
      <c r="E815" s="6"/>
      <c r="F815" s="6" t="s">
        <v>640</v>
      </c>
      <c r="G815" s="6"/>
      <c r="H815" s="6"/>
      <c r="I815" s="26" t="n">
        <v>0</v>
      </c>
      <c r="J815" s="26" t="n">
        <f aca="false">0</f>
        <v>0</v>
      </c>
      <c r="K815" s="43" t="str">
        <f aca="false">IF(I815=0,"No wiki control",IF(J815=I815,"Fully covered",IF(J815=0,"Not covered","Partly covered")))</f>
        <v>No wiki control</v>
      </c>
      <c r="L815" s="9" t="s">
        <v>2697</v>
      </c>
    </row>
    <row r="816" customFormat="false" ht="23.85" hidden="false" customHeight="false" outlineLevel="0" collapsed="false">
      <c r="A816" s="58" t="s">
        <v>615</v>
      </c>
      <c r="B816" s="58" t="s">
        <v>613</v>
      </c>
      <c r="C816" s="5" t="s">
        <v>2698</v>
      </c>
      <c r="D816" s="6" t="s">
        <v>2699</v>
      </c>
      <c r="E816" s="6" t="s">
        <v>2382</v>
      </c>
      <c r="F816" s="6" t="s">
        <v>730</v>
      </c>
      <c r="G816" s="6" t="s">
        <v>266</v>
      </c>
      <c r="H816" s="6"/>
      <c r="I816" s="26" t="n">
        <v>2</v>
      </c>
      <c r="J816" s="26" t="n">
        <f aca="false">COUNTIFS('Control Library'!$A$5:$A$50,"AI-CTRL-011",'Control Library'!$R$5:$R$50,"Implemented")+COUNTIFS('Control Library'!$A$5:$A$50,"AI-CTRL-012",'Control Library'!$R$5:$R$50,"Implemented")</f>
        <v>0</v>
      </c>
      <c r="K816" s="43" t="str">
        <f aca="false">IF(I816=0,"No wiki control",IF(J816=I816,"Fully covered",IF(J816=0,"Not covered","Partly covered")))</f>
        <v>Not covered</v>
      </c>
      <c r="L816" s="9" t="s">
        <v>2697</v>
      </c>
    </row>
    <row r="817" customFormat="false" ht="23.85" hidden="false" customHeight="false" outlineLevel="0" collapsed="false">
      <c r="A817" s="58" t="s">
        <v>615</v>
      </c>
      <c r="B817" s="58" t="s">
        <v>613</v>
      </c>
      <c r="C817" s="5" t="s">
        <v>2700</v>
      </c>
      <c r="D817" s="6" t="s">
        <v>2701</v>
      </c>
      <c r="E817" s="6" t="s">
        <v>263</v>
      </c>
      <c r="F817" s="6" t="s">
        <v>730</v>
      </c>
      <c r="G817" s="6" t="s">
        <v>266</v>
      </c>
      <c r="H817" s="6"/>
      <c r="I817" s="26" t="n">
        <v>1</v>
      </c>
      <c r="J817" s="26" t="n">
        <f aca="false">COUNTIFS('Control Library'!$A$5:$A$50,"AI-CTRL-012",'Control Library'!$R$5:$R$50,"Implemented")</f>
        <v>0</v>
      </c>
      <c r="K817" s="43" t="str">
        <f aca="false">IF(I817=0,"No wiki control",IF(J817=I817,"Fully covered",IF(J817=0,"Not covered","Partly covered")))</f>
        <v>Not covered</v>
      </c>
      <c r="L817" s="9" t="s">
        <v>2697</v>
      </c>
    </row>
    <row r="818" customFormat="false" ht="68.65" hidden="false" customHeight="false" outlineLevel="0" collapsed="false">
      <c r="A818" s="58" t="s">
        <v>615</v>
      </c>
      <c r="B818" s="58" t="s">
        <v>613</v>
      </c>
      <c r="C818" s="5" t="s">
        <v>2702</v>
      </c>
      <c r="D818" s="6" t="s">
        <v>2703</v>
      </c>
      <c r="E818" s="6" t="s">
        <v>2704</v>
      </c>
      <c r="F818" s="6" t="s">
        <v>730</v>
      </c>
      <c r="G818" s="6" t="s">
        <v>2705</v>
      </c>
      <c r="H818" s="6"/>
      <c r="I818" s="26" t="n">
        <v>8</v>
      </c>
      <c r="J818" s="26" t="n">
        <f aca="false">COUNTIFS('Control Library'!$A$5:$A$50,"AI-CTRL-008",'Control Library'!$R$5:$R$50,"Implemented")+COUNTIFS('Control Library'!$A$5:$A$50,"AI-CTRL-013",'Control Library'!$R$5:$R$50,"Implemented")+COUNTIFS('Control Library'!$A$5:$A$50,"AI-CTRL-023",'Control Library'!$R$5:$R$50,"Implemented")+COUNTIFS('Control Library'!$A$5:$A$50,"AI-CTRL-034",'Control Library'!$R$5:$R$50,"Implemented")+COUNTIFS('Control Library'!$A$5:$A$50,"AI-CTRL-035",'Control Library'!$R$5:$R$50,"Implemented")+COUNTIFS('Control Library'!$A$5:$A$50,"AI-CTRL-037",'Control Library'!$R$5:$R$50,"Implemented")+COUNTIFS('Control Library'!$A$5:$A$50,"AI-CTRL-038",'Control Library'!$R$5:$R$50,"Implemented")+COUNTIFS('Control Library'!$A$5:$A$50,"AI-CTRL-039",'Control Library'!$R$5:$R$50,"Implemented")</f>
        <v>0</v>
      </c>
      <c r="K818" s="43" t="str">
        <f aca="false">IF(I818=0,"No wiki control",IF(J818=I818,"Fully covered",IF(J818=0,"Not covered","Partly covered")))</f>
        <v>Not covered</v>
      </c>
      <c r="L818" s="9" t="s">
        <v>2697</v>
      </c>
    </row>
    <row r="819" customFormat="false" ht="23.85" hidden="false" customHeight="false" outlineLevel="0" collapsed="false">
      <c r="A819" s="58" t="s">
        <v>615</v>
      </c>
      <c r="B819" s="58" t="s">
        <v>613</v>
      </c>
      <c r="C819" s="5" t="s">
        <v>2706</v>
      </c>
      <c r="D819" s="6" t="s">
        <v>2707</v>
      </c>
      <c r="E819" s="6" t="s">
        <v>486</v>
      </c>
      <c r="F819" s="6" t="s">
        <v>730</v>
      </c>
      <c r="G819" s="6" t="s">
        <v>490</v>
      </c>
      <c r="H819" s="6"/>
      <c r="I819" s="26" t="n">
        <v>1</v>
      </c>
      <c r="J819" s="26" t="n">
        <f aca="false">COUNTIFS('Control Library'!$A$5:$A$50,"AI-CTRL-039",'Control Library'!$R$5:$R$50,"Implemented")</f>
        <v>0</v>
      </c>
      <c r="K819" s="43" t="str">
        <f aca="false">IF(I819=0,"No wiki control",IF(J819=I819,"Fully covered",IF(J819=0,"Not covered","Partly covered")))</f>
        <v>Not covered</v>
      </c>
      <c r="L819" s="9" t="s">
        <v>2697</v>
      </c>
    </row>
    <row r="820" customFormat="false" ht="23.85" hidden="false" customHeight="false" outlineLevel="0" collapsed="false">
      <c r="A820" s="58" t="s">
        <v>615</v>
      </c>
      <c r="B820" s="58" t="s">
        <v>613</v>
      </c>
      <c r="C820" s="5" t="s">
        <v>2708</v>
      </c>
      <c r="D820" s="6" t="s">
        <v>2709</v>
      </c>
      <c r="E820" s="6" t="s">
        <v>2710</v>
      </c>
      <c r="F820" s="6" t="s">
        <v>730</v>
      </c>
      <c r="G820" s="6" t="s">
        <v>286</v>
      </c>
      <c r="H820" s="6"/>
      <c r="I820" s="26" t="n">
        <v>3</v>
      </c>
      <c r="J820" s="26" t="n">
        <f aca="false">COUNTIFS('Control Library'!$A$5:$A$50,"AI-CTRL-014",'Control Library'!$R$5:$R$50,"Implemented")+COUNTIFS('Control Library'!$A$5:$A$50,"AI-CTRL-028",'Control Library'!$R$5:$R$50,"Implemented")+COUNTIFS('Control Library'!$A$5:$A$50,"AI-CTRL-029",'Control Library'!$R$5:$R$50,"Implemented")</f>
        <v>0</v>
      </c>
      <c r="K820" s="43" t="str">
        <f aca="false">IF(I820=0,"No wiki control",IF(J820=I820,"Fully covered",IF(J820=0,"Not covered","Partly covered")))</f>
        <v>Not covered</v>
      </c>
      <c r="L820" s="9" t="s">
        <v>2697</v>
      </c>
    </row>
    <row r="821" customFormat="false" ht="35.05" hidden="false" customHeight="false" outlineLevel="0" collapsed="false">
      <c r="A821" s="58" t="s">
        <v>615</v>
      </c>
      <c r="B821" s="58" t="s">
        <v>613</v>
      </c>
      <c r="C821" s="5" t="s">
        <v>2711</v>
      </c>
      <c r="D821" s="6" t="s">
        <v>2712</v>
      </c>
      <c r="E821" s="6" t="s">
        <v>2660</v>
      </c>
      <c r="F821" s="6" t="s">
        <v>730</v>
      </c>
      <c r="G821" s="6" t="s">
        <v>2661</v>
      </c>
      <c r="H821" s="6"/>
      <c r="I821" s="26" t="n">
        <v>4</v>
      </c>
      <c r="J821" s="26" t="n">
        <f aca="false">COUNTIFS('Control Library'!$A$5:$A$50,"AI-CTRL-007",'Control Library'!$R$5:$R$50,"Implemented")+COUNTIFS('Control Library'!$A$5:$A$50,"AI-CTRL-013",'Control Library'!$R$5:$R$50,"Implemented")+COUNTIFS('Control Library'!$A$5:$A$50,"AI-CTRL-017",'Control Library'!$R$5:$R$50,"Implemented")+COUNTIFS('Control Library'!$A$5:$A$50,"AI-CTRL-035",'Control Library'!$R$5:$R$50,"Implemented")</f>
        <v>0</v>
      </c>
      <c r="K821" s="43" t="str">
        <f aca="false">IF(I821=0,"No wiki control",IF(J821=I821,"Fully covered",IF(J821=0,"Not covered","Partly covered")))</f>
        <v>Not covered</v>
      </c>
      <c r="L821" s="9" t="s">
        <v>2697</v>
      </c>
    </row>
    <row r="822" customFormat="false" ht="23.85" hidden="false" customHeight="false" outlineLevel="0" collapsed="false">
      <c r="A822" s="58" t="s">
        <v>615</v>
      </c>
      <c r="B822" s="58" t="s">
        <v>613</v>
      </c>
      <c r="C822" s="5" t="s">
        <v>2713</v>
      </c>
      <c r="D822" s="6" t="s">
        <v>2714</v>
      </c>
      <c r="E822" s="6" t="s">
        <v>272</v>
      </c>
      <c r="F822" s="6" t="s">
        <v>730</v>
      </c>
      <c r="G822" s="6" t="s">
        <v>276</v>
      </c>
      <c r="H822" s="6"/>
      <c r="I822" s="26" t="n">
        <v>1</v>
      </c>
      <c r="J822" s="26" t="n">
        <f aca="false">COUNTIFS('Control Library'!$A$5:$A$50,"AI-CTRL-013",'Control Library'!$R$5:$R$50,"Implemented")</f>
        <v>0</v>
      </c>
      <c r="K822" s="43" t="str">
        <f aca="false">IF(I822=0,"No wiki control",IF(J822=I822,"Fully covered",IF(J822=0,"Not covered","Partly covered")))</f>
        <v>Not covered</v>
      </c>
      <c r="L822" s="9" t="s">
        <v>2697</v>
      </c>
    </row>
    <row r="823" customFormat="false" ht="23.85" hidden="false" customHeight="false" outlineLevel="0" collapsed="false">
      <c r="A823" s="58" t="s">
        <v>615</v>
      </c>
      <c r="B823" s="58" t="s">
        <v>613</v>
      </c>
      <c r="C823" s="5" t="s">
        <v>2715</v>
      </c>
      <c r="D823" s="6" t="s">
        <v>2716</v>
      </c>
      <c r="E823" s="6" t="s">
        <v>272</v>
      </c>
      <c r="F823" s="6" t="s">
        <v>730</v>
      </c>
      <c r="G823" s="6" t="s">
        <v>276</v>
      </c>
      <c r="H823" s="6"/>
      <c r="I823" s="26" t="n">
        <v>1</v>
      </c>
      <c r="J823" s="26" t="n">
        <f aca="false">COUNTIFS('Control Library'!$A$5:$A$50,"AI-CTRL-013",'Control Library'!$R$5:$R$50,"Implemented")</f>
        <v>0</v>
      </c>
      <c r="K823" s="43" t="str">
        <f aca="false">IF(I823=0,"No wiki control",IF(J823=I823,"Fully covered",IF(J823=0,"Not covered","Partly covered")))</f>
        <v>Not covered</v>
      </c>
      <c r="L823" s="9" t="s">
        <v>2697</v>
      </c>
    </row>
    <row r="824" customFormat="false" ht="23.85" hidden="false" customHeight="false" outlineLevel="0" collapsed="false">
      <c r="A824" s="58" t="s">
        <v>615</v>
      </c>
      <c r="B824" s="58" t="s">
        <v>613</v>
      </c>
      <c r="C824" s="5" t="s">
        <v>2717</v>
      </c>
      <c r="D824" s="6" t="s">
        <v>2718</v>
      </c>
      <c r="E824" s="6" t="s">
        <v>2719</v>
      </c>
      <c r="F824" s="6" t="s">
        <v>730</v>
      </c>
      <c r="G824" s="6" t="s">
        <v>2720</v>
      </c>
      <c r="H824" s="6"/>
      <c r="I824" s="26" t="n">
        <v>2</v>
      </c>
      <c r="J824" s="26" t="n">
        <f aca="false">COUNTIFS('Control Library'!$A$5:$A$50,"AI-CTRL-005",'Control Library'!$R$5:$R$50,"Implemented")+COUNTIFS('Control Library'!$A$5:$A$50,"AI-CTRL-035",'Control Library'!$R$5:$R$50,"Implemented")</f>
        <v>0</v>
      </c>
      <c r="K824" s="43" t="str">
        <f aca="false">IF(I824=0,"No wiki control",IF(J824=I824,"Fully covered",IF(J824=0,"Not covered","Partly covered")))</f>
        <v>Not covered</v>
      </c>
      <c r="L824" s="9" t="s">
        <v>2697</v>
      </c>
    </row>
    <row r="825" customFormat="false" ht="23.85" hidden="false" customHeight="false" outlineLevel="0" collapsed="false">
      <c r="A825" s="58" t="s">
        <v>615</v>
      </c>
      <c r="B825" s="58" t="s">
        <v>613</v>
      </c>
      <c r="C825" s="5" t="s">
        <v>2721</v>
      </c>
      <c r="D825" s="6" t="s">
        <v>2722</v>
      </c>
      <c r="E825" s="6" t="s">
        <v>2723</v>
      </c>
      <c r="F825" s="6" t="s">
        <v>730</v>
      </c>
      <c r="G825" s="6" t="s">
        <v>2724</v>
      </c>
      <c r="H825" s="6"/>
      <c r="I825" s="26" t="n">
        <v>2</v>
      </c>
      <c r="J825" s="26" t="n">
        <f aca="false">COUNTIFS('Control Library'!$A$5:$A$50,"AI-CTRL-014",'Control Library'!$R$5:$R$50,"Implemented")+COUNTIFS('Control Library'!$A$5:$A$50,"AI-CTRL-035",'Control Library'!$R$5:$R$50,"Implemented")</f>
        <v>0</v>
      </c>
      <c r="K825" s="43" t="str">
        <f aca="false">IF(I825=0,"No wiki control",IF(J825=I825,"Fully covered",IF(J825=0,"Not covered","Partly covered")))</f>
        <v>Not covered</v>
      </c>
      <c r="L825" s="9" t="s">
        <v>2697</v>
      </c>
    </row>
    <row r="826" customFormat="false" ht="23.85" hidden="false" customHeight="false" outlineLevel="0" collapsed="false">
      <c r="A826" s="58" t="s">
        <v>615</v>
      </c>
      <c r="B826" s="58" t="s">
        <v>613</v>
      </c>
      <c r="C826" s="5" t="s">
        <v>2725</v>
      </c>
      <c r="D826" s="6" t="s">
        <v>2726</v>
      </c>
      <c r="E826" s="6" t="s">
        <v>2727</v>
      </c>
      <c r="F826" s="6" t="s">
        <v>730</v>
      </c>
      <c r="G826" s="6" t="s">
        <v>2728</v>
      </c>
      <c r="H826" s="6"/>
      <c r="I826" s="26" t="n">
        <v>2</v>
      </c>
      <c r="J826" s="26" t="n">
        <f aca="false">COUNTIFS('Control Library'!$A$5:$A$50,"AI-CTRL-005",'Control Library'!$R$5:$R$50,"Implemented")+COUNTIFS('Control Library'!$A$5:$A$50,"AI-CTRL-008",'Control Library'!$R$5:$R$50,"Implemented")</f>
        <v>0</v>
      </c>
      <c r="K826" s="43" t="str">
        <f aca="false">IF(I826=0,"No wiki control",IF(J826=I826,"Fully covered",IF(J826=0,"Not covered","Partly covered")))</f>
        <v>Not covered</v>
      </c>
      <c r="L826" s="9" t="s">
        <v>2697</v>
      </c>
    </row>
    <row r="827" customFormat="false" ht="23.85" hidden="false" customHeight="false" outlineLevel="0" collapsed="false">
      <c r="A827" s="58" t="s">
        <v>615</v>
      </c>
      <c r="B827" s="58" t="s">
        <v>613</v>
      </c>
      <c r="C827" s="5" t="s">
        <v>2729</v>
      </c>
      <c r="D827" s="6" t="s">
        <v>2730</v>
      </c>
      <c r="E827" s="6" t="s">
        <v>470</v>
      </c>
      <c r="F827" s="6" t="s">
        <v>730</v>
      </c>
      <c r="G827" s="6" t="s">
        <v>473</v>
      </c>
      <c r="H827" s="6"/>
      <c r="I827" s="26" t="n">
        <v>1</v>
      </c>
      <c r="J827" s="26" t="n">
        <f aca="false">COUNTIFS('Control Library'!$A$5:$A$50,"AI-CTRL-037",'Control Library'!$R$5:$R$50,"Implemented")</f>
        <v>0</v>
      </c>
      <c r="K827" s="43" t="str">
        <f aca="false">IF(I827=0,"No wiki control",IF(J827=I827,"Fully covered",IF(J827=0,"Not covered","Partly covered")))</f>
        <v>Not covered</v>
      </c>
      <c r="L827" s="9" t="s">
        <v>2697</v>
      </c>
    </row>
    <row r="828" customFormat="false" ht="23.85" hidden="false" customHeight="false" outlineLevel="0" collapsed="false">
      <c r="A828" s="58" t="s">
        <v>615</v>
      </c>
      <c r="B828" s="58" t="s">
        <v>613</v>
      </c>
      <c r="C828" s="5" t="s">
        <v>2731</v>
      </c>
      <c r="D828" s="6" t="s">
        <v>2732</v>
      </c>
      <c r="E828" s="6" t="s">
        <v>2430</v>
      </c>
      <c r="F828" s="6" t="s">
        <v>730</v>
      </c>
      <c r="G828" s="6" t="s">
        <v>286</v>
      </c>
      <c r="H828" s="6"/>
      <c r="I828" s="26" t="n">
        <v>2</v>
      </c>
      <c r="J828" s="26" t="n">
        <f aca="false">COUNTIFS('Control Library'!$A$5:$A$50,"AI-CTRL-007",'Control Library'!$R$5:$R$50,"Implemented")+COUNTIFS('Control Library'!$A$5:$A$50,"AI-CTRL-014",'Control Library'!$R$5:$R$50,"Implemented")</f>
        <v>0</v>
      </c>
      <c r="K828" s="43" t="str">
        <f aca="false">IF(I828=0,"No wiki control",IF(J828=I828,"Fully covered",IF(J828=0,"Not covered","Partly covered")))</f>
        <v>Not covered</v>
      </c>
      <c r="L828" s="9" t="s">
        <v>2697</v>
      </c>
    </row>
    <row r="829" customFormat="false" ht="23.85" hidden="false" customHeight="false" outlineLevel="0" collapsed="false">
      <c r="A829" s="58" t="s">
        <v>615</v>
      </c>
      <c r="B829" s="58" t="s">
        <v>613</v>
      </c>
      <c r="C829" s="5" t="s">
        <v>2733</v>
      </c>
      <c r="D829" s="6" t="s">
        <v>2734</v>
      </c>
      <c r="E829" s="6" t="s">
        <v>486</v>
      </c>
      <c r="F829" s="6" t="s">
        <v>730</v>
      </c>
      <c r="G829" s="6" t="s">
        <v>490</v>
      </c>
      <c r="H829" s="6"/>
      <c r="I829" s="26" t="n">
        <v>1</v>
      </c>
      <c r="J829" s="26" t="n">
        <f aca="false">COUNTIFS('Control Library'!$A$5:$A$50,"AI-CTRL-039",'Control Library'!$R$5:$R$50,"Implemented")</f>
        <v>0</v>
      </c>
      <c r="K829" s="43" t="str">
        <f aca="false">IF(I829=0,"No wiki control",IF(J829=I829,"Fully covered",IF(J829=0,"Not covered","Partly covered")))</f>
        <v>Not covered</v>
      </c>
      <c r="L829" s="9" t="s">
        <v>2697</v>
      </c>
    </row>
    <row r="830" customFormat="false" ht="23.85" hidden="false" customHeight="false" outlineLevel="0" collapsed="false">
      <c r="A830" s="58" t="s">
        <v>615</v>
      </c>
      <c r="B830" s="58" t="s">
        <v>613</v>
      </c>
      <c r="C830" s="5" t="s">
        <v>2735</v>
      </c>
      <c r="D830" s="6" t="s">
        <v>2736</v>
      </c>
      <c r="E830" s="6" t="s">
        <v>404</v>
      </c>
      <c r="F830" s="6" t="s">
        <v>730</v>
      </c>
      <c r="G830" s="6" t="s">
        <v>399</v>
      </c>
      <c r="H830" s="6"/>
      <c r="I830" s="26" t="n">
        <v>1</v>
      </c>
      <c r="J830" s="26" t="n">
        <f aca="false">COUNTIFS('Control Library'!$A$5:$A$50,"AI-CTRL-029",'Control Library'!$R$5:$R$50,"Implemented")</f>
        <v>0</v>
      </c>
      <c r="K830" s="43" t="str">
        <f aca="false">IF(I830=0,"No wiki control",IF(J830=I830,"Fully covered",IF(J830=0,"Not covered","Partly covered")))</f>
        <v>Not covered</v>
      </c>
      <c r="L830" s="9" t="s">
        <v>2697</v>
      </c>
    </row>
    <row r="831" customFormat="false" ht="23.85" hidden="false" customHeight="false" outlineLevel="0" collapsed="false">
      <c r="A831" s="58" t="s">
        <v>615</v>
      </c>
      <c r="B831" s="58" t="s">
        <v>613</v>
      </c>
      <c r="C831" s="5" t="s">
        <v>2737</v>
      </c>
      <c r="D831" s="6" t="s">
        <v>2738</v>
      </c>
      <c r="E831" s="6" t="s">
        <v>263</v>
      </c>
      <c r="F831" s="6" t="s">
        <v>730</v>
      </c>
      <c r="G831" s="6" t="s">
        <v>266</v>
      </c>
      <c r="H831" s="6"/>
      <c r="I831" s="26" t="n">
        <v>1</v>
      </c>
      <c r="J831" s="26" t="n">
        <f aca="false">COUNTIFS('Control Library'!$A$5:$A$50,"AI-CTRL-012",'Control Library'!$R$5:$R$50,"Implemented")</f>
        <v>0</v>
      </c>
      <c r="K831" s="43" t="str">
        <f aca="false">IF(I831=0,"No wiki control",IF(J831=I831,"Fully covered",IF(J831=0,"Not covered","Partly covered")))</f>
        <v>Not covered</v>
      </c>
      <c r="L831" s="9" t="s">
        <v>2697</v>
      </c>
    </row>
    <row r="832" customFormat="false" ht="23.85" hidden="false" customHeight="false" outlineLevel="0" collapsed="false">
      <c r="A832" s="58" t="s">
        <v>615</v>
      </c>
      <c r="B832" s="58" t="s">
        <v>613</v>
      </c>
      <c r="C832" s="5" t="s">
        <v>2739</v>
      </c>
      <c r="D832" s="6" t="s">
        <v>2740</v>
      </c>
      <c r="E832" s="6" t="s">
        <v>282</v>
      </c>
      <c r="F832" s="6" t="s">
        <v>730</v>
      </c>
      <c r="G832" s="6" t="s">
        <v>286</v>
      </c>
      <c r="H832" s="6"/>
      <c r="I832" s="26" t="n">
        <v>1</v>
      </c>
      <c r="J832" s="26" t="n">
        <f aca="false">COUNTIFS('Control Library'!$A$5:$A$50,"AI-CTRL-014",'Control Library'!$R$5:$R$50,"Implemented")</f>
        <v>0</v>
      </c>
      <c r="K832" s="43" t="str">
        <f aca="false">IF(I832=0,"No wiki control",IF(J832=I832,"Fully covered",IF(J832=0,"Not covered","Partly covered")))</f>
        <v>Not covered</v>
      </c>
      <c r="L832" s="9" t="s">
        <v>2697</v>
      </c>
    </row>
    <row r="833" customFormat="false" ht="23.85" hidden="false" customHeight="false" outlineLevel="0" collapsed="false">
      <c r="A833" s="58" t="s">
        <v>615</v>
      </c>
      <c r="B833" s="58" t="s">
        <v>613</v>
      </c>
      <c r="C833" s="5" t="s">
        <v>2741</v>
      </c>
      <c r="D833" s="6" t="s">
        <v>2742</v>
      </c>
      <c r="E833" s="6" t="s">
        <v>255</v>
      </c>
      <c r="F833" s="6" t="s">
        <v>730</v>
      </c>
      <c r="G833" s="6" t="s">
        <v>258</v>
      </c>
      <c r="H833" s="6"/>
      <c r="I833" s="26" t="n">
        <v>1</v>
      </c>
      <c r="J833" s="26" t="n">
        <f aca="false">COUNTIFS('Control Library'!$A$5:$A$50,"AI-CTRL-011",'Control Library'!$R$5:$R$50,"Implemented")</f>
        <v>0</v>
      </c>
      <c r="K833" s="43" t="str">
        <f aca="false">IF(I833=0,"No wiki control",IF(J833=I833,"Fully covered",IF(J833=0,"Not covered","Partly covered")))</f>
        <v>Not covered</v>
      </c>
      <c r="L833" s="9" t="s">
        <v>2697</v>
      </c>
    </row>
    <row r="834" customFormat="false" ht="23.85" hidden="false" customHeight="false" outlineLevel="0" collapsed="false">
      <c r="A834" s="58" t="s">
        <v>615</v>
      </c>
      <c r="B834" s="58" t="s">
        <v>613</v>
      </c>
      <c r="C834" s="5" t="s">
        <v>2743</v>
      </c>
      <c r="D834" s="6" t="s">
        <v>2744</v>
      </c>
      <c r="E834" s="6" t="s">
        <v>282</v>
      </c>
      <c r="F834" s="6" t="s">
        <v>730</v>
      </c>
      <c r="G834" s="6" t="s">
        <v>286</v>
      </c>
      <c r="H834" s="6"/>
      <c r="I834" s="26" t="n">
        <v>1</v>
      </c>
      <c r="J834" s="26" t="n">
        <f aca="false">COUNTIFS('Control Library'!$A$5:$A$50,"AI-CTRL-014",'Control Library'!$R$5:$R$50,"Implemented")</f>
        <v>0</v>
      </c>
      <c r="K834" s="43" t="str">
        <f aca="false">IF(I834=0,"No wiki control",IF(J834=I834,"Fully covered",IF(J834=0,"Not covered","Partly covered")))</f>
        <v>Not covered</v>
      </c>
      <c r="L834" s="9" t="s">
        <v>2697</v>
      </c>
    </row>
    <row r="835" customFormat="false" ht="23.85" hidden="false" customHeight="false" outlineLevel="0" collapsed="false">
      <c r="A835" s="58" t="s">
        <v>615</v>
      </c>
      <c r="B835" s="58" t="s">
        <v>613</v>
      </c>
      <c r="C835" s="5" t="s">
        <v>2745</v>
      </c>
      <c r="D835" s="6" t="s">
        <v>2746</v>
      </c>
      <c r="E835" s="6" t="s">
        <v>486</v>
      </c>
      <c r="F835" s="6" t="s">
        <v>730</v>
      </c>
      <c r="G835" s="6" t="s">
        <v>490</v>
      </c>
      <c r="H835" s="6"/>
      <c r="I835" s="26" t="n">
        <v>1</v>
      </c>
      <c r="J835" s="26" t="n">
        <f aca="false">COUNTIFS('Control Library'!$A$5:$A$50,"AI-CTRL-039",'Control Library'!$R$5:$R$50,"Implemented")</f>
        <v>0</v>
      </c>
      <c r="K835" s="43" t="str">
        <f aca="false">IF(I835=0,"No wiki control",IF(J835=I835,"Fully covered",IF(J835=0,"Not covered","Partly covered")))</f>
        <v>Not covered</v>
      </c>
      <c r="L835" s="9" t="s">
        <v>2697</v>
      </c>
    </row>
    <row r="836" customFormat="false" ht="46.25" hidden="false" customHeight="false" outlineLevel="0" collapsed="false">
      <c r="A836" s="58" t="s">
        <v>615</v>
      </c>
      <c r="B836" s="58" t="s">
        <v>613</v>
      </c>
      <c r="C836" s="5" t="s">
        <v>2747</v>
      </c>
      <c r="D836" s="6" t="s">
        <v>2748</v>
      </c>
      <c r="E836" s="6" t="s">
        <v>2749</v>
      </c>
      <c r="F836" s="6" t="s">
        <v>730</v>
      </c>
      <c r="G836" s="6" t="s">
        <v>2750</v>
      </c>
      <c r="H836" s="6"/>
      <c r="I836" s="26" t="n">
        <v>4</v>
      </c>
      <c r="J836" s="26" t="n">
        <f aca="false">COUNTIFS('Control Library'!$A$5:$A$50,"AI-CTRL-005",'Control Library'!$R$5:$R$50,"Implemented")+COUNTIFS('Control Library'!$A$5:$A$50,"AI-CTRL-012",'Control Library'!$R$5:$R$50,"Implemented")+COUNTIFS('Control Library'!$A$5:$A$50,"AI-CTRL-013",'Control Library'!$R$5:$R$50,"Implemented")+COUNTIFS('Control Library'!$A$5:$A$50,"AI-CTRL-037",'Control Library'!$R$5:$R$50,"Implemented")</f>
        <v>0</v>
      </c>
      <c r="K836" s="43" t="str">
        <f aca="false">IF(I836=0,"No wiki control",IF(J836=I836,"Fully covered",IF(J836=0,"Not covered","Partly covered")))</f>
        <v>Not covered</v>
      </c>
      <c r="L836" s="9" t="s">
        <v>2697</v>
      </c>
    </row>
    <row r="837" customFormat="false" ht="23.85" hidden="false" customHeight="false" outlineLevel="0" collapsed="false">
      <c r="A837" s="58" t="s">
        <v>615</v>
      </c>
      <c r="B837" s="58" t="s">
        <v>613</v>
      </c>
      <c r="C837" s="5" t="s">
        <v>2751</v>
      </c>
      <c r="D837" s="6" t="s">
        <v>2752</v>
      </c>
      <c r="E837" s="6"/>
      <c r="F837" s="6" t="s">
        <v>640</v>
      </c>
      <c r="G837" s="6"/>
      <c r="H837" s="6"/>
      <c r="I837" s="26" t="n">
        <v>0</v>
      </c>
      <c r="J837" s="26" t="n">
        <f aca="false">0</f>
        <v>0</v>
      </c>
      <c r="K837" s="43" t="str">
        <f aca="false">IF(I837=0,"No wiki control",IF(J837=I837,"Fully covered",IF(J837=0,"Not covered","Partly covered")))</f>
        <v>No wiki control</v>
      </c>
      <c r="L837" s="9" t="s">
        <v>2697</v>
      </c>
    </row>
    <row r="838" customFormat="false" ht="35.05" hidden="false" customHeight="false" outlineLevel="0" collapsed="false">
      <c r="A838" s="58" t="s">
        <v>616</v>
      </c>
      <c r="B838" s="58" t="s">
        <v>613</v>
      </c>
      <c r="C838" s="5" t="s">
        <v>2753</v>
      </c>
      <c r="D838" s="6" t="s">
        <v>2754</v>
      </c>
      <c r="E838" s="6" t="s">
        <v>2629</v>
      </c>
      <c r="F838" s="6" t="s">
        <v>730</v>
      </c>
      <c r="G838" s="6" t="s">
        <v>2630</v>
      </c>
      <c r="H838" s="6"/>
      <c r="I838" s="26" t="n">
        <v>3</v>
      </c>
      <c r="J838" s="26" t="n">
        <f aca="false">COUNTIFS('Control Library'!$A$5:$A$50,"AI-CTRL-012",'Control Library'!$R$5:$R$50,"Implemented")+COUNTIFS('Control Library'!$A$5:$A$50,"AI-CTRL-039",'Control Library'!$R$5:$R$50,"Implemented")+COUNTIFS('Control Library'!$A$5:$A$50,"AI-CTRL-041",'Control Library'!$R$5:$R$50,"Implemented")</f>
        <v>0</v>
      </c>
      <c r="K838" s="43" t="str">
        <f aca="false">IF(I838=0,"No wiki control",IF(J838=I838,"Fully covered",IF(J838=0,"Not covered","Partly covered")))</f>
        <v>Not covered</v>
      </c>
      <c r="L838" s="9" t="s">
        <v>2755</v>
      </c>
    </row>
    <row r="839" customFormat="false" ht="35.05" hidden="false" customHeight="false" outlineLevel="0" collapsed="false">
      <c r="A839" s="58" t="s">
        <v>616</v>
      </c>
      <c r="B839" s="58" t="s">
        <v>613</v>
      </c>
      <c r="C839" s="5" t="s">
        <v>2756</v>
      </c>
      <c r="D839" s="6" t="s">
        <v>2757</v>
      </c>
      <c r="E839" s="6" t="s">
        <v>2660</v>
      </c>
      <c r="F839" s="6" t="s">
        <v>730</v>
      </c>
      <c r="G839" s="6" t="s">
        <v>2661</v>
      </c>
      <c r="H839" s="6"/>
      <c r="I839" s="26" t="n">
        <v>4</v>
      </c>
      <c r="J839" s="26" t="n">
        <f aca="false">COUNTIFS('Control Library'!$A$5:$A$50,"AI-CTRL-007",'Control Library'!$R$5:$R$50,"Implemented")+COUNTIFS('Control Library'!$A$5:$A$50,"AI-CTRL-013",'Control Library'!$R$5:$R$50,"Implemented")+COUNTIFS('Control Library'!$A$5:$A$50,"AI-CTRL-017",'Control Library'!$R$5:$R$50,"Implemented")+COUNTIFS('Control Library'!$A$5:$A$50,"AI-CTRL-035",'Control Library'!$R$5:$R$50,"Implemented")</f>
        <v>0</v>
      </c>
      <c r="K839" s="43" t="str">
        <f aca="false">IF(I839=0,"No wiki control",IF(J839=I839,"Fully covered",IF(J839=0,"Not covered","Partly covered")))</f>
        <v>Not covered</v>
      </c>
      <c r="L839" s="9" t="s">
        <v>2755</v>
      </c>
    </row>
    <row r="840" customFormat="false" ht="35.05" hidden="false" customHeight="false" outlineLevel="0" collapsed="false">
      <c r="A840" s="58" t="s">
        <v>616</v>
      </c>
      <c r="B840" s="58" t="s">
        <v>613</v>
      </c>
      <c r="C840" s="5" t="s">
        <v>2758</v>
      </c>
      <c r="D840" s="6" t="s">
        <v>2759</v>
      </c>
      <c r="E840" s="6" t="s">
        <v>2760</v>
      </c>
      <c r="F840" s="6" t="s">
        <v>730</v>
      </c>
      <c r="G840" s="6" t="s">
        <v>2761</v>
      </c>
      <c r="H840" s="6"/>
      <c r="I840" s="26" t="n">
        <v>3</v>
      </c>
      <c r="J840" s="26" t="n">
        <f aca="false">COUNTIFS('Control Library'!$A$5:$A$50,"AI-CTRL-013",'Control Library'!$R$5:$R$50,"Implemented")+COUNTIFS('Control Library'!$A$5:$A$50,"AI-CTRL-023",'Control Library'!$R$5:$R$50,"Implemented")+COUNTIFS('Control Library'!$A$5:$A$50,"AI-CTRL-041",'Control Library'!$R$5:$R$50,"Implemented")</f>
        <v>0</v>
      </c>
      <c r="K840" s="43" t="str">
        <f aca="false">IF(I840=0,"No wiki control",IF(J840=I840,"Fully covered",IF(J840=0,"Not covered","Partly covered")))</f>
        <v>Not covered</v>
      </c>
      <c r="L840" s="9" t="s">
        <v>2755</v>
      </c>
    </row>
    <row r="841" customFormat="false" ht="23.85" hidden="false" customHeight="false" outlineLevel="0" collapsed="false">
      <c r="A841" s="58" t="s">
        <v>616</v>
      </c>
      <c r="B841" s="58" t="s">
        <v>613</v>
      </c>
      <c r="C841" s="5" t="s">
        <v>2762</v>
      </c>
      <c r="D841" s="6" t="s">
        <v>2763</v>
      </c>
      <c r="E841" s="6" t="s">
        <v>2764</v>
      </c>
      <c r="F841" s="6" t="s">
        <v>730</v>
      </c>
      <c r="G841" s="6" t="s">
        <v>1097</v>
      </c>
      <c r="H841" s="6"/>
      <c r="I841" s="26" t="n">
        <v>2</v>
      </c>
      <c r="J841" s="26" t="n">
        <f aca="false">COUNTIFS('Control Library'!$A$5:$A$50,"AI-CTRL-013",'Control Library'!$R$5:$R$50,"Implemented")+COUNTIFS('Control Library'!$A$5:$A$50,"AI-CTRL-041",'Control Library'!$R$5:$R$50,"Implemented")</f>
        <v>0</v>
      </c>
      <c r="K841" s="43" t="str">
        <f aca="false">IF(I841=0,"No wiki control",IF(J841=I841,"Fully covered",IF(J841=0,"Not covered","Partly covered")))</f>
        <v>Not covered</v>
      </c>
      <c r="L841" s="9" t="s">
        <v>2755</v>
      </c>
    </row>
    <row r="842" customFormat="false" ht="35.05" hidden="false" customHeight="false" outlineLevel="0" collapsed="false">
      <c r="A842" s="58" t="s">
        <v>616</v>
      </c>
      <c r="B842" s="58" t="s">
        <v>613</v>
      </c>
      <c r="C842" s="5" t="s">
        <v>2765</v>
      </c>
      <c r="D842" s="6" t="s">
        <v>2766</v>
      </c>
      <c r="E842" s="6" t="s">
        <v>2767</v>
      </c>
      <c r="F842" s="6" t="s">
        <v>730</v>
      </c>
      <c r="G842" s="6" t="s">
        <v>2768</v>
      </c>
      <c r="H842" s="6"/>
      <c r="I842" s="26" t="n">
        <v>3</v>
      </c>
      <c r="J842" s="26" t="n">
        <f aca="false">COUNTIFS('Control Library'!$A$5:$A$50,"AI-CTRL-012",'Control Library'!$R$5:$R$50,"Implemented")+COUNTIFS('Control Library'!$A$5:$A$50,"AI-CTRL-023",'Control Library'!$R$5:$R$50,"Implemented")+COUNTIFS('Control Library'!$A$5:$A$50,"AI-CTRL-037",'Control Library'!$R$5:$R$50,"Implemented")</f>
        <v>0</v>
      </c>
      <c r="K842" s="43" t="str">
        <f aca="false">IF(I842=0,"No wiki control",IF(J842=I842,"Fully covered",IF(J842=0,"Not covered","Partly covered")))</f>
        <v>Not covered</v>
      </c>
      <c r="L842" s="9" t="s">
        <v>2755</v>
      </c>
    </row>
    <row r="843" customFormat="false" ht="23.85" hidden="false" customHeight="false" outlineLevel="0" collapsed="false">
      <c r="A843" s="58" t="s">
        <v>616</v>
      </c>
      <c r="B843" s="58" t="s">
        <v>613</v>
      </c>
      <c r="C843" s="5" t="s">
        <v>2769</v>
      </c>
      <c r="D843" s="6" t="s">
        <v>2770</v>
      </c>
      <c r="E843" s="6" t="s">
        <v>2619</v>
      </c>
      <c r="F843" s="6" t="s">
        <v>730</v>
      </c>
      <c r="G843" s="6" t="s">
        <v>2620</v>
      </c>
      <c r="H843" s="6"/>
      <c r="I843" s="26" t="n">
        <v>3</v>
      </c>
      <c r="J843" s="26" t="n">
        <f aca="false">COUNTIFS('Control Library'!$A$5:$A$50,"AI-CTRL-011",'Control Library'!$R$5:$R$50,"Implemented")+COUNTIFS('Control Library'!$A$5:$A$50,"AI-CTRL-037",'Control Library'!$R$5:$R$50,"Implemented")+COUNTIFS('Control Library'!$A$5:$A$50,"AI-CTRL-038",'Control Library'!$R$5:$R$50,"Implemented")</f>
        <v>0</v>
      </c>
      <c r="K843" s="43" t="str">
        <f aca="false">IF(I843=0,"No wiki control",IF(J843=I843,"Fully covered",IF(J843=0,"Not covered","Partly covered")))</f>
        <v>Not covered</v>
      </c>
      <c r="L843" s="9" t="s">
        <v>2755</v>
      </c>
    </row>
    <row r="844" customFormat="false" ht="23.85" hidden="false" customHeight="false" outlineLevel="0" collapsed="false">
      <c r="A844" s="58" t="s">
        <v>616</v>
      </c>
      <c r="B844" s="58" t="s">
        <v>613</v>
      </c>
      <c r="C844" s="5" t="s">
        <v>2771</v>
      </c>
      <c r="D844" s="6" t="s">
        <v>2772</v>
      </c>
      <c r="E844" s="6" t="s">
        <v>486</v>
      </c>
      <c r="F844" s="6" t="s">
        <v>730</v>
      </c>
      <c r="G844" s="6" t="s">
        <v>490</v>
      </c>
      <c r="H844" s="6"/>
      <c r="I844" s="26" t="n">
        <v>1</v>
      </c>
      <c r="J844" s="26" t="n">
        <f aca="false">COUNTIFS('Control Library'!$A$5:$A$50,"AI-CTRL-039",'Control Library'!$R$5:$R$50,"Implemented")</f>
        <v>0</v>
      </c>
      <c r="K844" s="43" t="str">
        <f aca="false">IF(I844=0,"No wiki control",IF(J844=I844,"Fully covered",IF(J844=0,"Not covered","Partly covered")))</f>
        <v>Not covered</v>
      </c>
      <c r="L844" s="9" t="s">
        <v>2755</v>
      </c>
    </row>
    <row r="845" customFormat="false" ht="23.85" hidden="false" customHeight="false" outlineLevel="0" collapsed="false">
      <c r="A845" s="58" t="s">
        <v>616</v>
      </c>
      <c r="B845" s="58" t="s">
        <v>613</v>
      </c>
      <c r="C845" s="5" t="s">
        <v>2773</v>
      </c>
      <c r="D845" s="6" t="s">
        <v>2774</v>
      </c>
      <c r="E845" s="6" t="s">
        <v>404</v>
      </c>
      <c r="F845" s="6" t="s">
        <v>730</v>
      </c>
      <c r="G845" s="6" t="s">
        <v>399</v>
      </c>
      <c r="H845" s="6"/>
      <c r="I845" s="26" t="n">
        <v>1</v>
      </c>
      <c r="J845" s="26" t="n">
        <f aca="false">COUNTIFS('Control Library'!$A$5:$A$50,"AI-CTRL-029",'Control Library'!$R$5:$R$50,"Implemented")</f>
        <v>0</v>
      </c>
      <c r="K845" s="43" t="str">
        <f aca="false">IF(I845=0,"No wiki control",IF(J845=I845,"Fully covered",IF(J845=0,"Not covered","Partly covered")))</f>
        <v>Not covered</v>
      </c>
      <c r="L845" s="9" t="s">
        <v>2755</v>
      </c>
    </row>
    <row r="846" customFormat="false" ht="23.85" hidden="false" customHeight="false" outlineLevel="0" collapsed="false">
      <c r="A846" s="58" t="s">
        <v>616</v>
      </c>
      <c r="B846" s="58" t="s">
        <v>613</v>
      </c>
      <c r="C846" s="5" t="s">
        <v>2775</v>
      </c>
      <c r="D846" s="6" t="s">
        <v>2776</v>
      </c>
      <c r="E846" s="6"/>
      <c r="F846" s="6" t="s">
        <v>640</v>
      </c>
      <c r="G846" s="6"/>
      <c r="H846" s="6"/>
      <c r="I846" s="26" t="n">
        <v>0</v>
      </c>
      <c r="J846" s="26" t="n">
        <f aca="false">0</f>
        <v>0</v>
      </c>
      <c r="K846" s="43" t="str">
        <f aca="false">IF(I846=0,"No wiki control",IF(J846=I846,"Fully covered",IF(J846=0,"Not covered","Partly covered")))</f>
        <v>No wiki control</v>
      </c>
      <c r="L846" s="9" t="s">
        <v>2755</v>
      </c>
    </row>
    <row r="847" customFormat="false" ht="35.05" hidden="false" customHeight="false" outlineLevel="0" collapsed="false">
      <c r="A847" s="58" t="s">
        <v>616</v>
      </c>
      <c r="B847" s="58" t="s">
        <v>613</v>
      </c>
      <c r="C847" s="5" t="s">
        <v>2777</v>
      </c>
      <c r="D847" s="6" t="s">
        <v>2778</v>
      </c>
      <c r="E847" s="6" t="s">
        <v>2727</v>
      </c>
      <c r="F847" s="6" t="s">
        <v>730</v>
      </c>
      <c r="G847" s="6" t="s">
        <v>2728</v>
      </c>
      <c r="H847" s="6"/>
      <c r="I847" s="26" t="n">
        <v>2</v>
      </c>
      <c r="J847" s="26" t="n">
        <f aca="false">COUNTIFS('Control Library'!$A$5:$A$50,"AI-CTRL-005",'Control Library'!$R$5:$R$50,"Implemented")+COUNTIFS('Control Library'!$A$5:$A$50,"AI-CTRL-008",'Control Library'!$R$5:$R$50,"Implemented")</f>
        <v>0</v>
      </c>
      <c r="K847" s="43" t="str">
        <f aca="false">IF(I847=0,"No wiki control",IF(J847=I847,"Fully covered",IF(J847=0,"Not covered","Partly covered")))</f>
        <v>Not covered</v>
      </c>
      <c r="L847" s="9" t="s">
        <v>2755</v>
      </c>
    </row>
    <row r="848" customFormat="false" ht="23.85" hidden="false" customHeight="false" outlineLevel="0" collapsed="false">
      <c r="A848" s="58" t="s">
        <v>616</v>
      </c>
      <c r="B848" s="58" t="s">
        <v>613</v>
      </c>
      <c r="C848" s="5" t="s">
        <v>2779</v>
      </c>
      <c r="D848" s="6" t="s">
        <v>2780</v>
      </c>
      <c r="E848" s="6" t="s">
        <v>2781</v>
      </c>
      <c r="F848" s="6" t="s">
        <v>730</v>
      </c>
      <c r="G848" s="6" t="s">
        <v>2782</v>
      </c>
      <c r="H848" s="6"/>
      <c r="I848" s="26" t="n">
        <v>2</v>
      </c>
      <c r="J848" s="26" t="n">
        <f aca="false">COUNTIFS('Control Library'!$A$5:$A$50,"AI-CTRL-011",'Control Library'!$R$5:$R$50,"Implemented")+COUNTIFS('Control Library'!$A$5:$A$50,"AI-CTRL-039",'Control Library'!$R$5:$R$50,"Implemented")</f>
        <v>0</v>
      </c>
      <c r="K848" s="43" t="str">
        <f aca="false">IF(I848=0,"No wiki control",IF(J848=I848,"Fully covered",IF(J848=0,"Not covered","Partly covered")))</f>
        <v>Not covered</v>
      </c>
      <c r="L848" s="9" t="s">
        <v>2755</v>
      </c>
    </row>
    <row r="849" customFormat="false" ht="23.85" hidden="false" customHeight="false" outlineLevel="0" collapsed="false">
      <c r="A849" s="58" t="s">
        <v>616</v>
      </c>
      <c r="B849" s="58" t="s">
        <v>613</v>
      </c>
      <c r="C849" s="5" t="s">
        <v>2783</v>
      </c>
      <c r="D849" s="6" t="s">
        <v>2784</v>
      </c>
      <c r="E849" s="6" t="s">
        <v>504</v>
      </c>
      <c r="F849" s="6" t="s">
        <v>730</v>
      </c>
      <c r="G849" s="6" t="s">
        <v>507</v>
      </c>
      <c r="H849" s="6"/>
      <c r="I849" s="26" t="n">
        <v>1</v>
      </c>
      <c r="J849" s="26" t="n">
        <f aca="false">COUNTIFS('Control Library'!$A$5:$A$50,"AI-CTRL-041",'Control Library'!$R$5:$R$50,"Implemented")</f>
        <v>0</v>
      </c>
      <c r="K849" s="43" t="str">
        <f aca="false">IF(I849=0,"No wiki control",IF(J849=I849,"Fully covered",IF(J849=0,"Not covered","Partly covered")))</f>
        <v>Not covered</v>
      </c>
      <c r="L849" s="9" t="s">
        <v>2755</v>
      </c>
    </row>
    <row r="850" customFormat="false" ht="46.25" hidden="false" customHeight="false" outlineLevel="0" collapsed="false">
      <c r="A850" s="58" t="s">
        <v>616</v>
      </c>
      <c r="B850" s="58" t="s">
        <v>613</v>
      </c>
      <c r="C850" s="5" t="s">
        <v>2785</v>
      </c>
      <c r="D850" s="6" t="s">
        <v>2786</v>
      </c>
      <c r="E850" s="6" t="s">
        <v>2787</v>
      </c>
      <c r="F850" s="6" t="s">
        <v>730</v>
      </c>
      <c r="G850" s="6" t="s">
        <v>2788</v>
      </c>
      <c r="H850" s="6"/>
      <c r="I850" s="26" t="n">
        <v>5</v>
      </c>
      <c r="J850" s="26" t="n">
        <f aca="false">COUNTIFS('Control Library'!$A$5:$A$50,"AI-CTRL-011",'Control Library'!$R$5:$R$50,"Implemented")+COUNTIFS('Control Library'!$A$5:$A$50,"AI-CTRL-012",'Control Library'!$R$5:$R$50,"Implemented")+COUNTIFS('Control Library'!$A$5:$A$50,"AI-CTRL-037",'Control Library'!$R$5:$R$50,"Implemented")+COUNTIFS('Control Library'!$A$5:$A$50,"AI-CTRL-041",'Control Library'!$R$5:$R$50,"Implemented")+COUNTIFS('Control Library'!$A$5:$A$50,"AI-CTRL-042",'Control Library'!$R$5:$R$50,"Implemented")</f>
        <v>0</v>
      </c>
      <c r="K850" s="43" t="str">
        <f aca="false">IF(I850=0,"No wiki control",IF(J850=I850,"Fully covered",IF(J850=0,"Not covered","Partly covered")))</f>
        <v>Not covered</v>
      </c>
      <c r="L850" s="9" t="s">
        <v>2755</v>
      </c>
    </row>
    <row r="851" customFormat="false" ht="23.85" hidden="false" customHeight="false" outlineLevel="0" collapsed="false">
      <c r="A851" s="58" t="s">
        <v>617</v>
      </c>
      <c r="B851" s="58" t="s">
        <v>613</v>
      </c>
      <c r="C851" s="5" t="s">
        <v>2789</v>
      </c>
      <c r="D851" s="6" t="s">
        <v>2790</v>
      </c>
      <c r="E851" s="6"/>
      <c r="F851" s="6" t="s">
        <v>640</v>
      </c>
      <c r="G851" s="6"/>
      <c r="H851" s="6"/>
      <c r="I851" s="26" t="n">
        <v>0</v>
      </c>
      <c r="J851" s="26" t="n">
        <f aca="false">0</f>
        <v>0</v>
      </c>
      <c r="K851" s="43" t="str">
        <f aca="false">IF(I851=0,"No wiki control",IF(J851=I851,"Fully covered",IF(J851=0,"Not covered","Partly covered")))</f>
        <v>No wiki control</v>
      </c>
      <c r="L851" s="9" t="s">
        <v>2791</v>
      </c>
    </row>
    <row r="852" customFormat="false" ht="23.85" hidden="false" customHeight="false" outlineLevel="0" collapsed="false">
      <c r="A852" s="58" t="s">
        <v>617</v>
      </c>
      <c r="B852" s="58" t="s">
        <v>613</v>
      </c>
      <c r="C852" s="5" t="s">
        <v>2792</v>
      </c>
      <c r="D852" s="6" t="s">
        <v>2793</v>
      </c>
      <c r="E852" s="6"/>
      <c r="F852" s="6" t="s">
        <v>640</v>
      </c>
      <c r="G852" s="6"/>
      <c r="H852" s="6"/>
      <c r="I852" s="26" t="n">
        <v>0</v>
      </c>
      <c r="J852" s="26" t="n">
        <f aca="false">0</f>
        <v>0</v>
      </c>
      <c r="K852" s="43" t="str">
        <f aca="false">IF(I852=0,"No wiki control",IF(J852=I852,"Fully covered",IF(J852=0,"Not covered","Partly covered")))</f>
        <v>No wiki control</v>
      </c>
      <c r="L852" s="9" t="s">
        <v>2791</v>
      </c>
    </row>
    <row r="853" customFormat="false" ht="23.85" hidden="false" customHeight="false" outlineLevel="0" collapsed="false">
      <c r="A853" s="58" t="s">
        <v>617</v>
      </c>
      <c r="B853" s="58" t="s">
        <v>613</v>
      </c>
      <c r="C853" s="5" t="s">
        <v>2794</v>
      </c>
      <c r="D853" s="6" t="s">
        <v>2795</v>
      </c>
      <c r="E853" s="6" t="s">
        <v>199</v>
      </c>
      <c r="F853" s="6" t="s">
        <v>730</v>
      </c>
      <c r="G853" s="6" t="s">
        <v>203</v>
      </c>
      <c r="H853" s="6"/>
      <c r="I853" s="26" t="n">
        <v>1</v>
      </c>
      <c r="J853" s="26" t="n">
        <f aca="false">COUNTIFS('Control Library'!$A$5:$A$50,"AI-CTRL-005",'Control Library'!$R$5:$R$50,"Implemented")</f>
        <v>0</v>
      </c>
      <c r="K853" s="43" t="str">
        <f aca="false">IF(I853=0,"No wiki control",IF(J853=I853,"Fully covered",IF(J853=0,"Not covered","Partly covered")))</f>
        <v>Not covered</v>
      </c>
      <c r="L853" s="9" t="s">
        <v>2791</v>
      </c>
    </row>
    <row r="854" customFormat="false" ht="23.85" hidden="false" customHeight="false" outlineLevel="0" collapsed="false">
      <c r="A854" s="58" t="s">
        <v>617</v>
      </c>
      <c r="B854" s="58" t="s">
        <v>613</v>
      </c>
      <c r="C854" s="5" t="s">
        <v>2796</v>
      </c>
      <c r="D854" s="6" t="s">
        <v>2797</v>
      </c>
      <c r="E854" s="6"/>
      <c r="F854" s="6" t="s">
        <v>640</v>
      </c>
      <c r="G854" s="6"/>
      <c r="H854" s="6"/>
      <c r="I854" s="26" t="n">
        <v>0</v>
      </c>
      <c r="J854" s="26" t="n">
        <f aca="false">0</f>
        <v>0</v>
      </c>
      <c r="K854" s="43" t="str">
        <f aca="false">IF(I854=0,"No wiki control",IF(J854=I854,"Fully covered",IF(J854=0,"Not covered","Partly covered")))</f>
        <v>No wiki control</v>
      </c>
      <c r="L854" s="9" t="s">
        <v>2791</v>
      </c>
    </row>
    <row r="855" customFormat="false" ht="35.05" hidden="false" customHeight="false" outlineLevel="0" collapsed="false">
      <c r="A855" s="58" t="s">
        <v>617</v>
      </c>
      <c r="B855" s="58" t="s">
        <v>613</v>
      </c>
      <c r="C855" s="5" t="s">
        <v>2798</v>
      </c>
      <c r="D855" s="6" t="s">
        <v>2799</v>
      </c>
      <c r="E855" s="6" t="s">
        <v>2800</v>
      </c>
      <c r="F855" s="6" t="s">
        <v>730</v>
      </c>
      <c r="G855" s="6" t="s">
        <v>2801</v>
      </c>
      <c r="H855" s="6"/>
      <c r="I855" s="26" t="n">
        <v>3</v>
      </c>
      <c r="J855" s="26" t="n">
        <f aca="false">COUNTIFS('Control Library'!$A$5:$A$50,"AI-CTRL-013",'Control Library'!$R$5:$R$50,"Implemented")+COUNTIFS('Control Library'!$A$5:$A$50,"AI-CTRL-037",'Control Library'!$R$5:$R$50,"Implemented")+COUNTIFS('Control Library'!$A$5:$A$50,"AI-CTRL-041",'Control Library'!$R$5:$R$50,"Implemented")</f>
        <v>0</v>
      </c>
      <c r="K855" s="43" t="str">
        <f aca="false">IF(I855=0,"No wiki control",IF(J855=I855,"Fully covered",IF(J855=0,"Not covered","Partly covered")))</f>
        <v>Not covered</v>
      </c>
      <c r="L855" s="9" t="s">
        <v>2791</v>
      </c>
    </row>
    <row r="856" customFormat="false" ht="23.85" hidden="false" customHeight="false" outlineLevel="0" collapsed="false">
      <c r="A856" s="58" t="s">
        <v>617</v>
      </c>
      <c r="B856" s="58" t="s">
        <v>613</v>
      </c>
      <c r="C856" s="5" t="s">
        <v>2802</v>
      </c>
      <c r="D856" s="6" t="s">
        <v>2803</v>
      </c>
      <c r="E856" s="6" t="s">
        <v>2804</v>
      </c>
      <c r="F856" s="6" t="s">
        <v>730</v>
      </c>
      <c r="G856" s="6" t="s">
        <v>2805</v>
      </c>
      <c r="H856" s="6"/>
      <c r="I856" s="26" t="n">
        <v>3</v>
      </c>
      <c r="J856" s="26" t="n">
        <f aca="false">COUNTIFS('Control Library'!$A$5:$A$50,"AI-CTRL-011",'Control Library'!$R$5:$R$50,"Implemented")+COUNTIFS('Control Library'!$A$5:$A$50,"AI-CTRL-029",'Control Library'!$R$5:$R$50,"Implemented")+COUNTIFS('Control Library'!$A$5:$A$50,"AI-CTRL-038",'Control Library'!$R$5:$R$50,"Implemented")</f>
        <v>0</v>
      </c>
      <c r="K856" s="43" t="str">
        <f aca="false">IF(I856=0,"No wiki control",IF(J856=I856,"Fully covered",IF(J856=0,"Not covered","Partly covered")))</f>
        <v>Not covered</v>
      </c>
      <c r="L856" s="9" t="s">
        <v>2791</v>
      </c>
    </row>
    <row r="857" customFormat="false" ht="23.85" hidden="false" customHeight="false" outlineLevel="0" collapsed="false">
      <c r="A857" s="58" t="s">
        <v>617</v>
      </c>
      <c r="B857" s="58" t="s">
        <v>613</v>
      </c>
      <c r="C857" s="5" t="s">
        <v>2806</v>
      </c>
      <c r="D857" s="6" t="s">
        <v>2807</v>
      </c>
      <c r="E857" s="6" t="s">
        <v>486</v>
      </c>
      <c r="F857" s="6" t="s">
        <v>730</v>
      </c>
      <c r="G857" s="6" t="s">
        <v>490</v>
      </c>
      <c r="H857" s="6"/>
      <c r="I857" s="26" t="n">
        <v>1</v>
      </c>
      <c r="J857" s="26" t="n">
        <f aca="false">COUNTIFS('Control Library'!$A$5:$A$50,"AI-CTRL-039",'Control Library'!$R$5:$R$50,"Implemented")</f>
        <v>0</v>
      </c>
      <c r="K857" s="43" t="str">
        <f aca="false">IF(I857=0,"No wiki control",IF(J857=I857,"Fully covered",IF(J857=0,"Not covered","Partly covered")))</f>
        <v>Not covered</v>
      </c>
      <c r="L857" s="9" t="s">
        <v>2791</v>
      </c>
    </row>
    <row r="858" customFormat="false" ht="46.25" hidden="false" customHeight="false" outlineLevel="0" collapsed="false">
      <c r="A858" s="58" t="s">
        <v>617</v>
      </c>
      <c r="B858" s="58" t="s">
        <v>613</v>
      </c>
      <c r="C858" s="5" t="s">
        <v>2808</v>
      </c>
      <c r="D858" s="6" t="s">
        <v>2809</v>
      </c>
      <c r="E858" s="6" t="s">
        <v>2810</v>
      </c>
      <c r="F858" s="6" t="s">
        <v>730</v>
      </c>
      <c r="G858" s="6" t="s">
        <v>2811</v>
      </c>
      <c r="H858" s="6"/>
      <c r="I858" s="26" t="n">
        <v>4</v>
      </c>
      <c r="J858" s="26" t="n">
        <f aca="false">COUNTIFS('Control Library'!$A$5:$A$50,"AI-CTRL-013",'Control Library'!$R$5:$R$50,"Implemented")+COUNTIFS('Control Library'!$A$5:$A$50,"AI-CTRL-023",'Control Library'!$R$5:$R$50,"Implemented")+COUNTIFS('Control Library'!$A$5:$A$50,"AI-CTRL-037",'Control Library'!$R$5:$R$50,"Implemented")+COUNTIFS('Control Library'!$A$5:$A$50,"AI-CTRL-041",'Control Library'!$R$5:$R$50,"Implemented")</f>
        <v>0</v>
      </c>
      <c r="K858" s="43" t="str">
        <f aca="false">IF(I858=0,"No wiki control",IF(J858=I858,"Fully covered",IF(J858=0,"Not covered","Partly covered")))</f>
        <v>Not covered</v>
      </c>
      <c r="L858" s="9" t="s">
        <v>2791</v>
      </c>
    </row>
    <row r="859" customFormat="false" ht="23.85" hidden="false" customHeight="false" outlineLevel="0" collapsed="false">
      <c r="A859" s="58" t="s">
        <v>617</v>
      </c>
      <c r="B859" s="58" t="s">
        <v>613</v>
      </c>
      <c r="C859" s="5" t="s">
        <v>2812</v>
      </c>
      <c r="D859" s="6" t="s">
        <v>2813</v>
      </c>
      <c r="E859" s="6" t="s">
        <v>2814</v>
      </c>
      <c r="F859" s="6" t="s">
        <v>730</v>
      </c>
      <c r="G859" s="6" t="s">
        <v>2815</v>
      </c>
      <c r="H859" s="6"/>
      <c r="I859" s="26" t="n">
        <v>2</v>
      </c>
      <c r="J859" s="26" t="n">
        <f aca="false">COUNTIFS('Control Library'!$A$5:$A$50,"AI-CTRL-012",'Control Library'!$R$5:$R$50,"Implemented")+COUNTIFS('Control Library'!$A$5:$A$50,"AI-CTRL-013",'Control Library'!$R$5:$R$50,"Implemented")</f>
        <v>0</v>
      </c>
      <c r="K859" s="43" t="str">
        <f aca="false">IF(I859=0,"No wiki control",IF(J859=I859,"Fully covered",IF(J859=0,"Not covered","Partly covered")))</f>
        <v>Not covered</v>
      </c>
      <c r="L859" s="9" t="s">
        <v>2791</v>
      </c>
    </row>
    <row r="860" customFormat="false" ht="23.85" hidden="false" customHeight="false" outlineLevel="0" collapsed="false">
      <c r="A860" s="58" t="s">
        <v>617</v>
      </c>
      <c r="B860" s="58" t="s">
        <v>613</v>
      </c>
      <c r="C860" s="5" t="s">
        <v>2816</v>
      </c>
      <c r="D860" s="6" t="s">
        <v>2817</v>
      </c>
      <c r="E860" s="6" t="s">
        <v>2818</v>
      </c>
      <c r="F860" s="6" t="s">
        <v>730</v>
      </c>
      <c r="G860" s="6" t="s">
        <v>2819</v>
      </c>
      <c r="H860" s="6"/>
      <c r="I860" s="26" t="n">
        <v>2</v>
      </c>
      <c r="J860" s="26" t="n">
        <f aca="false">COUNTIFS('Control Library'!$A$5:$A$50,"AI-CTRL-023",'Control Library'!$R$5:$R$50,"Implemented")+COUNTIFS('Control Library'!$A$5:$A$50,"AI-CTRL-041",'Control Library'!$R$5:$R$50,"Implemented")</f>
        <v>0</v>
      </c>
      <c r="K860" s="43" t="str">
        <f aca="false">IF(I860=0,"No wiki control",IF(J860=I860,"Fully covered",IF(J860=0,"Not covered","Partly covered")))</f>
        <v>Not covered</v>
      </c>
      <c r="L860" s="9" t="s">
        <v>2791</v>
      </c>
    </row>
    <row r="861" customFormat="false" ht="23.85" hidden="false" customHeight="false" outlineLevel="0" collapsed="false">
      <c r="A861" s="58" t="s">
        <v>617</v>
      </c>
      <c r="B861" s="58" t="s">
        <v>613</v>
      </c>
      <c r="C861" s="5" t="s">
        <v>2820</v>
      </c>
      <c r="D861" s="6" t="s">
        <v>2821</v>
      </c>
      <c r="E861" s="6" t="s">
        <v>1658</v>
      </c>
      <c r="F861" s="6" t="s">
        <v>730</v>
      </c>
      <c r="G861" s="6" t="s">
        <v>1659</v>
      </c>
      <c r="H861" s="6"/>
      <c r="I861" s="26" t="n">
        <v>2</v>
      </c>
      <c r="J861" s="26" t="n">
        <f aca="false">COUNTIFS('Control Library'!$A$5:$A$50,"AI-CTRL-039",'Control Library'!$R$5:$R$50,"Implemented")+COUNTIFS('Control Library'!$A$5:$A$50,"AI-CTRL-041",'Control Library'!$R$5:$R$50,"Implemented")</f>
        <v>0</v>
      </c>
      <c r="K861" s="43" t="str">
        <f aca="false">IF(I861=0,"No wiki control",IF(J861=I861,"Fully covered",IF(J861=0,"Not covered","Partly covered")))</f>
        <v>Not covered</v>
      </c>
      <c r="L861" s="9" t="s">
        <v>2791</v>
      </c>
    </row>
    <row r="862" customFormat="false" ht="57.45" hidden="false" customHeight="false" outlineLevel="0" collapsed="false">
      <c r="A862" s="58" t="s">
        <v>617</v>
      </c>
      <c r="B862" s="58" t="s">
        <v>613</v>
      </c>
      <c r="C862" s="5" t="s">
        <v>2822</v>
      </c>
      <c r="D862" s="6" t="s">
        <v>2823</v>
      </c>
      <c r="E862" s="6" t="s">
        <v>2824</v>
      </c>
      <c r="F862" s="6" t="s">
        <v>730</v>
      </c>
      <c r="G862" s="6" t="s">
        <v>2825</v>
      </c>
      <c r="H862" s="6"/>
      <c r="I862" s="26" t="n">
        <v>3</v>
      </c>
      <c r="J862" s="26" t="n">
        <f aca="false">COUNTIFS('Control Library'!$A$5:$A$50,"AI-CTRL-012",'Control Library'!$R$5:$R$50,"Implemented")+COUNTIFS('Control Library'!$A$5:$A$50,"AI-CTRL-037",'Control Library'!$R$5:$R$50,"Implemented")+COUNTIFS('Control Library'!$A$5:$A$50,"AI-CTRL-041",'Control Library'!$R$5:$R$50,"Implemented")</f>
        <v>0</v>
      </c>
      <c r="K862" s="43" t="str">
        <f aca="false">IF(I862=0,"No wiki control",IF(J862=I862,"Fully covered",IF(J862=0,"Not covered","Partly covered")))</f>
        <v>Not covered</v>
      </c>
      <c r="L862" s="9" t="s">
        <v>2791</v>
      </c>
    </row>
    <row r="863" customFormat="false" ht="23.85" hidden="false" customHeight="false" outlineLevel="0" collapsed="false">
      <c r="A863" s="58" t="s">
        <v>617</v>
      </c>
      <c r="B863" s="58" t="s">
        <v>613</v>
      </c>
      <c r="C863" s="5" t="s">
        <v>2826</v>
      </c>
      <c r="D863" s="6" t="s">
        <v>2827</v>
      </c>
      <c r="E863" s="6"/>
      <c r="F863" s="6" t="s">
        <v>640</v>
      </c>
      <c r="G863" s="6"/>
      <c r="H863" s="6"/>
      <c r="I863" s="26" t="n">
        <v>0</v>
      </c>
      <c r="J863" s="26" t="n">
        <f aca="false">0</f>
        <v>0</v>
      </c>
      <c r="K863" s="43" t="str">
        <f aca="false">IF(I863=0,"No wiki control",IF(J863=I863,"Fully covered",IF(J863=0,"Not covered","Partly covered")))</f>
        <v>No wiki control</v>
      </c>
      <c r="L863" s="9" t="s">
        <v>2791</v>
      </c>
    </row>
    <row r="864" customFormat="false" ht="46.25" hidden="false" customHeight="false" outlineLevel="0" collapsed="false">
      <c r="A864" s="58" t="s">
        <v>617</v>
      </c>
      <c r="B864" s="58" t="s">
        <v>613</v>
      </c>
      <c r="C864" s="5" t="s">
        <v>2828</v>
      </c>
      <c r="D864" s="6" t="s">
        <v>2829</v>
      </c>
      <c r="E864" s="6" t="s">
        <v>2830</v>
      </c>
      <c r="F864" s="6" t="s">
        <v>730</v>
      </c>
      <c r="G864" s="6" t="s">
        <v>2831</v>
      </c>
      <c r="H864" s="6"/>
      <c r="I864" s="26" t="n">
        <v>4</v>
      </c>
      <c r="J864" s="26" t="n">
        <f aca="false">COUNTIFS('Control Library'!$A$5:$A$50,"AI-CTRL-012",'Control Library'!$R$5:$R$50,"Implemented")+COUNTIFS('Control Library'!$A$5:$A$50,"AI-CTRL-029",'Control Library'!$R$5:$R$50,"Implemented")+COUNTIFS('Control Library'!$A$5:$A$50,"AI-CTRL-038",'Control Library'!$R$5:$R$50,"Implemented")+COUNTIFS('Control Library'!$A$5:$A$50,"AI-CTRL-039",'Control Library'!$R$5:$R$50,"Implemented")</f>
        <v>0</v>
      </c>
      <c r="K864" s="43" t="str">
        <f aca="false">IF(I864=0,"No wiki control",IF(J864=I864,"Fully covered",IF(J864=0,"Not covered","Partly covered")))</f>
        <v>Not covered</v>
      </c>
      <c r="L864" s="9" t="s">
        <v>2791</v>
      </c>
    </row>
    <row r="865" customFormat="false" ht="46.25" hidden="false" customHeight="false" outlineLevel="0" collapsed="false">
      <c r="A865" s="58" t="s">
        <v>617</v>
      </c>
      <c r="B865" s="58" t="s">
        <v>613</v>
      </c>
      <c r="C865" s="5" t="s">
        <v>2832</v>
      </c>
      <c r="D865" s="6" t="s">
        <v>2833</v>
      </c>
      <c r="E865" s="6" t="s">
        <v>2834</v>
      </c>
      <c r="F865" s="6" t="s">
        <v>730</v>
      </c>
      <c r="G865" s="6" t="s">
        <v>2835</v>
      </c>
      <c r="H865" s="6"/>
      <c r="I865" s="26" t="n">
        <v>5</v>
      </c>
      <c r="J865" s="26" t="n">
        <f aca="false">COUNTIFS('Control Library'!$A$5:$A$50,"AI-CTRL-012",'Control Library'!$R$5:$R$50,"Implemented")+COUNTIFS('Control Library'!$A$5:$A$50,"AI-CTRL-014",'Control Library'!$R$5:$R$50,"Implemented")+COUNTIFS('Control Library'!$A$5:$A$50,"AI-CTRL-037",'Control Library'!$R$5:$R$50,"Implemented")+COUNTIFS('Control Library'!$A$5:$A$50,"AI-CTRL-038",'Control Library'!$R$5:$R$50,"Implemented")+COUNTIFS('Control Library'!$A$5:$A$50,"AI-CTRL-041",'Control Library'!$R$5:$R$50,"Implemented")</f>
        <v>0</v>
      </c>
      <c r="K865" s="43" t="str">
        <f aca="false">IF(I865=0,"No wiki control",IF(J865=I865,"Fully covered",IF(J865=0,"Not covered","Partly covered")))</f>
        <v>Not covered</v>
      </c>
      <c r="L865" s="9" t="s">
        <v>2791</v>
      </c>
    </row>
    <row r="866" customFormat="false" ht="35.05" hidden="false" customHeight="false" outlineLevel="0" collapsed="false">
      <c r="A866" s="58" t="s">
        <v>617</v>
      </c>
      <c r="B866" s="58" t="s">
        <v>613</v>
      </c>
      <c r="C866" s="5" t="s">
        <v>2836</v>
      </c>
      <c r="D866" s="6" t="s">
        <v>2837</v>
      </c>
      <c r="E866" s="6" t="s">
        <v>2838</v>
      </c>
      <c r="F866" s="6" t="s">
        <v>730</v>
      </c>
      <c r="G866" s="6" t="s">
        <v>2839</v>
      </c>
      <c r="H866" s="6"/>
      <c r="I866" s="26" t="n">
        <v>4</v>
      </c>
      <c r="J866" s="26" t="n">
        <f aca="false">COUNTIFS('Control Library'!$A$5:$A$50,"AI-CTRL-014",'Control Library'!$R$5:$R$50,"Implemented")+COUNTIFS('Control Library'!$A$5:$A$50,"AI-CTRL-029",'Control Library'!$R$5:$R$50,"Implemented")+COUNTIFS('Control Library'!$A$5:$A$50,"AI-CTRL-037",'Control Library'!$R$5:$R$50,"Implemented")+COUNTIFS('Control Library'!$A$5:$A$50,"AI-CTRL-041",'Control Library'!$R$5:$R$50,"Implemented")</f>
        <v>0</v>
      </c>
      <c r="K866" s="43" t="str">
        <f aca="false">IF(I866=0,"No wiki control",IF(J866=I866,"Fully covered",IF(J866=0,"Not covered","Partly covered")))</f>
        <v>Not covered</v>
      </c>
      <c r="L866" s="9" t="s">
        <v>2791</v>
      </c>
    </row>
    <row r="867" customFormat="false" ht="46.25" hidden="false" customHeight="false" outlineLevel="0" collapsed="false">
      <c r="A867" s="58" t="s">
        <v>617</v>
      </c>
      <c r="B867" s="58" t="s">
        <v>613</v>
      </c>
      <c r="C867" s="5" t="s">
        <v>2840</v>
      </c>
      <c r="D867" s="6" t="s">
        <v>2841</v>
      </c>
      <c r="E867" s="6" t="s">
        <v>2842</v>
      </c>
      <c r="F867" s="6" t="s">
        <v>730</v>
      </c>
      <c r="G867" s="6" t="s">
        <v>2843</v>
      </c>
      <c r="H867" s="6"/>
      <c r="I867" s="26" t="n">
        <v>4</v>
      </c>
      <c r="J867" s="26" t="n">
        <f aca="false">COUNTIFS('Control Library'!$A$5:$A$50,"AI-CTRL-013",'Control Library'!$R$5:$R$50,"Implemented")+COUNTIFS('Control Library'!$A$5:$A$50,"AI-CTRL-014",'Control Library'!$R$5:$R$50,"Implemented")+COUNTIFS('Control Library'!$A$5:$A$50,"AI-CTRL-017",'Control Library'!$R$5:$R$50,"Implemented")+COUNTIFS('Control Library'!$A$5:$A$50,"AI-CTRL-035",'Control Library'!$R$5:$R$50,"Implemented")</f>
        <v>0</v>
      </c>
      <c r="K867" s="43" t="str">
        <f aca="false">IF(I867=0,"No wiki control",IF(J867=I867,"Fully covered",IF(J867=0,"Not covered","Partly covered")))</f>
        <v>Not covered</v>
      </c>
      <c r="L867" s="9" t="s">
        <v>2791</v>
      </c>
    </row>
    <row r="868" customFormat="false" ht="23.85" hidden="false" customHeight="false" outlineLevel="0" collapsed="false">
      <c r="A868" s="58" t="s">
        <v>618</v>
      </c>
      <c r="B868" s="58" t="s">
        <v>613</v>
      </c>
      <c r="C868" s="5" t="s">
        <v>2844</v>
      </c>
      <c r="D868" s="6" t="s">
        <v>2845</v>
      </c>
      <c r="E868" s="6" t="s">
        <v>263</v>
      </c>
      <c r="F868" s="6" t="s">
        <v>730</v>
      </c>
      <c r="G868" s="6" t="s">
        <v>266</v>
      </c>
      <c r="H868" s="6"/>
      <c r="I868" s="26" t="n">
        <v>1</v>
      </c>
      <c r="J868" s="26" t="n">
        <f aca="false">COUNTIFS('Control Library'!$A$5:$A$50,"AI-CTRL-012",'Control Library'!$R$5:$R$50,"Implemented")</f>
        <v>0</v>
      </c>
      <c r="K868" s="43" t="str">
        <f aca="false">IF(I868=0,"No wiki control",IF(J868=I868,"Fully covered",IF(J868=0,"Not covered","Partly covered")))</f>
        <v>Not covered</v>
      </c>
      <c r="L868" s="9" t="s">
        <v>2846</v>
      </c>
    </row>
    <row r="869" customFormat="false" ht="35.05" hidden="false" customHeight="false" outlineLevel="0" collapsed="false">
      <c r="A869" s="58" t="s">
        <v>618</v>
      </c>
      <c r="B869" s="58" t="s">
        <v>613</v>
      </c>
      <c r="C869" s="5" t="s">
        <v>2847</v>
      </c>
      <c r="D869" s="6" t="s">
        <v>2848</v>
      </c>
      <c r="E869" s="6" t="s">
        <v>2465</v>
      </c>
      <c r="F869" s="6" t="s">
        <v>730</v>
      </c>
      <c r="G869" s="6" t="s">
        <v>2466</v>
      </c>
      <c r="H869" s="6"/>
      <c r="I869" s="26" t="n">
        <v>3</v>
      </c>
      <c r="J869" s="26" t="n">
        <f aca="false">COUNTIFS('Control Library'!$A$5:$A$50,"AI-CTRL-013",'Control Library'!$R$5:$R$50,"Implemented")+COUNTIFS('Control Library'!$A$5:$A$50,"AI-CTRL-039",'Control Library'!$R$5:$R$50,"Implemented")+COUNTIFS('Control Library'!$A$5:$A$50,"AI-CTRL-041",'Control Library'!$R$5:$R$50,"Implemented")</f>
        <v>0</v>
      </c>
      <c r="K869" s="43" t="str">
        <f aca="false">IF(I869=0,"No wiki control",IF(J869=I869,"Fully covered",IF(J869=0,"Not covered","Partly covered")))</f>
        <v>Not covered</v>
      </c>
      <c r="L869" s="9" t="s">
        <v>2846</v>
      </c>
    </row>
    <row r="870" customFormat="false" ht="23.85" hidden="false" customHeight="false" outlineLevel="0" collapsed="false">
      <c r="A870" s="58" t="s">
        <v>618</v>
      </c>
      <c r="B870" s="58" t="s">
        <v>613</v>
      </c>
      <c r="C870" s="5" t="s">
        <v>2849</v>
      </c>
      <c r="D870" s="6" t="s">
        <v>2850</v>
      </c>
      <c r="E870" s="6" t="s">
        <v>2851</v>
      </c>
      <c r="F870" s="6" t="s">
        <v>730</v>
      </c>
      <c r="G870" s="6" t="s">
        <v>2852</v>
      </c>
      <c r="H870" s="6"/>
      <c r="I870" s="26" t="n">
        <v>2</v>
      </c>
      <c r="J870" s="26" t="n">
        <f aca="false">COUNTIFS('Control Library'!$A$5:$A$50,"AI-CTRL-013",'Control Library'!$R$5:$R$50,"Implemented")+COUNTIFS('Control Library'!$A$5:$A$50,"AI-CTRL-035",'Control Library'!$R$5:$R$50,"Implemented")</f>
        <v>0</v>
      </c>
      <c r="K870" s="43" t="str">
        <f aca="false">IF(I870=0,"No wiki control",IF(J870=I870,"Fully covered",IF(J870=0,"Not covered","Partly covered")))</f>
        <v>Not covered</v>
      </c>
      <c r="L870" s="9" t="s">
        <v>2846</v>
      </c>
    </row>
    <row r="871" customFormat="false" ht="23.85" hidden="false" customHeight="false" outlineLevel="0" collapsed="false">
      <c r="A871" s="58" t="s">
        <v>618</v>
      </c>
      <c r="B871" s="58" t="s">
        <v>613</v>
      </c>
      <c r="C871" s="5" t="s">
        <v>2853</v>
      </c>
      <c r="D871" s="6" t="s">
        <v>2854</v>
      </c>
      <c r="E871" s="6" t="s">
        <v>2851</v>
      </c>
      <c r="F871" s="6" t="s">
        <v>730</v>
      </c>
      <c r="G871" s="6" t="s">
        <v>2852</v>
      </c>
      <c r="H871" s="6"/>
      <c r="I871" s="26" t="n">
        <v>2</v>
      </c>
      <c r="J871" s="26" t="n">
        <f aca="false">COUNTIFS('Control Library'!$A$5:$A$50,"AI-CTRL-013",'Control Library'!$R$5:$R$50,"Implemented")+COUNTIFS('Control Library'!$A$5:$A$50,"AI-CTRL-035",'Control Library'!$R$5:$R$50,"Implemented")</f>
        <v>0</v>
      </c>
      <c r="K871" s="43" t="str">
        <f aca="false">IF(I871=0,"No wiki control",IF(J871=I871,"Fully covered",IF(J871=0,"Not covered","Partly covered")))</f>
        <v>Not covered</v>
      </c>
      <c r="L871" s="9" t="s">
        <v>2846</v>
      </c>
    </row>
    <row r="872" customFormat="false" ht="35.05" hidden="false" customHeight="false" outlineLevel="0" collapsed="false">
      <c r="A872" s="58" t="s">
        <v>618</v>
      </c>
      <c r="B872" s="58" t="s">
        <v>613</v>
      </c>
      <c r="C872" s="5" t="s">
        <v>2855</v>
      </c>
      <c r="D872" s="6" t="s">
        <v>2856</v>
      </c>
      <c r="E872" s="6" t="s">
        <v>2767</v>
      </c>
      <c r="F872" s="6" t="s">
        <v>730</v>
      </c>
      <c r="G872" s="6" t="s">
        <v>2768</v>
      </c>
      <c r="H872" s="6"/>
      <c r="I872" s="26" t="n">
        <v>3</v>
      </c>
      <c r="J872" s="26" t="n">
        <f aca="false">COUNTIFS('Control Library'!$A$5:$A$50,"AI-CTRL-012",'Control Library'!$R$5:$R$50,"Implemented")+COUNTIFS('Control Library'!$A$5:$A$50,"AI-CTRL-023",'Control Library'!$R$5:$R$50,"Implemented")+COUNTIFS('Control Library'!$A$5:$A$50,"AI-CTRL-037",'Control Library'!$R$5:$R$50,"Implemented")</f>
        <v>0</v>
      </c>
      <c r="K872" s="43" t="str">
        <f aca="false">IF(I872=0,"No wiki control",IF(J872=I872,"Fully covered",IF(J872=0,"Not covered","Partly covered")))</f>
        <v>Not covered</v>
      </c>
      <c r="L872" s="9" t="s">
        <v>2846</v>
      </c>
    </row>
    <row r="873" customFormat="false" ht="23.85" hidden="false" customHeight="false" outlineLevel="0" collapsed="false">
      <c r="A873" s="58" t="s">
        <v>618</v>
      </c>
      <c r="B873" s="58" t="s">
        <v>613</v>
      </c>
      <c r="C873" s="5" t="s">
        <v>2857</v>
      </c>
      <c r="D873" s="6" t="s">
        <v>2858</v>
      </c>
      <c r="E873" s="6"/>
      <c r="F873" s="6" t="s">
        <v>640</v>
      </c>
      <c r="G873" s="6"/>
      <c r="H873" s="6"/>
      <c r="I873" s="26" t="n">
        <v>0</v>
      </c>
      <c r="J873" s="26" t="n">
        <f aca="false">0</f>
        <v>0</v>
      </c>
      <c r="K873" s="43" t="str">
        <f aca="false">IF(I873=0,"No wiki control",IF(J873=I873,"Fully covered",IF(J873=0,"Not covered","Partly covered")))</f>
        <v>No wiki control</v>
      </c>
      <c r="L873" s="9" t="s">
        <v>2846</v>
      </c>
    </row>
    <row r="874" customFormat="false" ht="23.85" hidden="false" customHeight="false" outlineLevel="0" collapsed="false">
      <c r="A874" s="58" t="s">
        <v>618</v>
      </c>
      <c r="B874" s="58" t="s">
        <v>613</v>
      </c>
      <c r="C874" s="5" t="s">
        <v>2859</v>
      </c>
      <c r="D874" s="6" t="s">
        <v>2860</v>
      </c>
      <c r="E874" s="6" t="s">
        <v>1658</v>
      </c>
      <c r="F874" s="6" t="s">
        <v>730</v>
      </c>
      <c r="G874" s="6" t="s">
        <v>1659</v>
      </c>
      <c r="H874" s="6"/>
      <c r="I874" s="26" t="n">
        <v>2</v>
      </c>
      <c r="J874" s="26" t="n">
        <f aca="false">COUNTIFS('Control Library'!$A$5:$A$50,"AI-CTRL-039",'Control Library'!$R$5:$R$50,"Implemented")+COUNTIFS('Control Library'!$A$5:$A$50,"AI-CTRL-041",'Control Library'!$R$5:$R$50,"Implemented")</f>
        <v>0</v>
      </c>
      <c r="K874" s="43" t="str">
        <f aca="false">IF(I874=0,"No wiki control",IF(J874=I874,"Fully covered",IF(J874=0,"Not covered","Partly covered")))</f>
        <v>Not covered</v>
      </c>
      <c r="L874" s="9" t="s">
        <v>2846</v>
      </c>
    </row>
    <row r="875" customFormat="false" ht="23.85" hidden="false" customHeight="false" outlineLevel="0" collapsed="false">
      <c r="A875" s="58" t="s">
        <v>618</v>
      </c>
      <c r="B875" s="58" t="s">
        <v>613</v>
      </c>
      <c r="C875" s="5" t="s">
        <v>2861</v>
      </c>
      <c r="D875" s="6" t="s">
        <v>2862</v>
      </c>
      <c r="E875" s="6" t="s">
        <v>1658</v>
      </c>
      <c r="F875" s="6" t="s">
        <v>730</v>
      </c>
      <c r="G875" s="6" t="s">
        <v>1659</v>
      </c>
      <c r="H875" s="6"/>
      <c r="I875" s="26" t="n">
        <v>2</v>
      </c>
      <c r="J875" s="26" t="n">
        <f aca="false">COUNTIFS('Control Library'!$A$5:$A$50,"AI-CTRL-039",'Control Library'!$R$5:$R$50,"Implemented")+COUNTIFS('Control Library'!$A$5:$A$50,"AI-CTRL-041",'Control Library'!$R$5:$R$50,"Implemented")</f>
        <v>0</v>
      </c>
      <c r="K875" s="43" t="str">
        <f aca="false">IF(I875=0,"No wiki control",IF(J875=I875,"Fully covered",IF(J875=0,"Not covered","Partly covered")))</f>
        <v>Not covered</v>
      </c>
      <c r="L875" s="9" t="s">
        <v>2846</v>
      </c>
    </row>
    <row r="876" customFormat="false" ht="23.85" hidden="false" customHeight="false" outlineLevel="0" collapsed="false">
      <c r="A876" s="58" t="s">
        <v>618</v>
      </c>
      <c r="B876" s="58" t="s">
        <v>613</v>
      </c>
      <c r="C876" s="5" t="s">
        <v>2863</v>
      </c>
      <c r="D876" s="6" t="s">
        <v>2864</v>
      </c>
      <c r="E876" s="6" t="s">
        <v>263</v>
      </c>
      <c r="F876" s="6" t="s">
        <v>730</v>
      </c>
      <c r="G876" s="6" t="s">
        <v>266</v>
      </c>
      <c r="H876" s="6"/>
      <c r="I876" s="26" t="n">
        <v>1</v>
      </c>
      <c r="J876" s="26" t="n">
        <f aca="false">COUNTIFS('Control Library'!$A$5:$A$50,"AI-CTRL-012",'Control Library'!$R$5:$R$50,"Implemented")</f>
        <v>0</v>
      </c>
      <c r="K876" s="43" t="str">
        <f aca="false">IF(I876=0,"No wiki control",IF(J876=I876,"Fully covered",IF(J876=0,"Not covered","Partly covered")))</f>
        <v>Not covered</v>
      </c>
      <c r="L876" s="9" t="s">
        <v>2846</v>
      </c>
    </row>
    <row r="877" customFormat="false" ht="35.05" hidden="false" customHeight="false" outlineLevel="0" collapsed="false">
      <c r="A877" s="58" t="s">
        <v>618</v>
      </c>
      <c r="B877" s="58" t="s">
        <v>613</v>
      </c>
      <c r="C877" s="5" t="s">
        <v>2865</v>
      </c>
      <c r="D877" s="6" t="s">
        <v>2866</v>
      </c>
      <c r="E877" s="6" t="s">
        <v>2867</v>
      </c>
      <c r="F877" s="6" t="s">
        <v>730</v>
      </c>
      <c r="G877" s="6" t="s">
        <v>2868</v>
      </c>
      <c r="H877" s="6"/>
      <c r="I877" s="26" t="n">
        <v>3</v>
      </c>
      <c r="J877" s="26" t="n">
        <f aca="false">COUNTIFS('Control Library'!$A$5:$A$50,"AI-CTRL-005",'Control Library'!$R$5:$R$50,"Implemented")+COUNTIFS('Control Library'!$A$5:$A$50,"AI-CTRL-014",'Control Library'!$R$5:$R$50,"Implemented")+COUNTIFS('Control Library'!$A$5:$A$50,"AI-CTRL-035",'Control Library'!$R$5:$R$50,"Implemented")</f>
        <v>0</v>
      </c>
      <c r="K877" s="43" t="str">
        <f aca="false">IF(I877=0,"No wiki control",IF(J877=I877,"Fully covered",IF(J877=0,"Not covered","Partly covered")))</f>
        <v>Not covered</v>
      </c>
      <c r="L877" s="9" t="s">
        <v>2846</v>
      </c>
    </row>
    <row r="878" customFormat="false" ht="23.85" hidden="false" customHeight="false" outlineLevel="0" collapsed="false">
      <c r="A878" s="58" t="s">
        <v>619</v>
      </c>
      <c r="B878" s="58" t="s">
        <v>613</v>
      </c>
      <c r="C878" s="5" t="s">
        <v>2869</v>
      </c>
      <c r="D878" s="6" t="s">
        <v>2870</v>
      </c>
      <c r="E878" s="6" t="s">
        <v>2871</v>
      </c>
      <c r="F878" s="6" t="s">
        <v>730</v>
      </c>
      <c r="G878" s="6" t="s">
        <v>2872</v>
      </c>
      <c r="H878" s="6"/>
      <c r="I878" s="26" t="n">
        <v>3</v>
      </c>
      <c r="J878" s="26" t="n">
        <f aca="false">COUNTIFS('Control Library'!$A$5:$A$50,"AI-CTRL-011",'Control Library'!$R$5:$R$50,"Implemented")+COUNTIFS('Control Library'!$A$5:$A$50,"AI-CTRL-037",'Control Library'!$R$5:$R$50,"Implemented")+COUNTIFS('Control Library'!$A$5:$A$50,"AI-CTRL-041",'Control Library'!$R$5:$R$50,"Implemented")</f>
        <v>0</v>
      </c>
      <c r="K878" s="43" t="str">
        <f aca="false">IF(I878=0,"No wiki control",IF(J878=I878,"Fully covered",IF(J878=0,"Not covered","Partly covered")))</f>
        <v>Not covered</v>
      </c>
      <c r="L878" s="9" t="s">
        <v>2873</v>
      </c>
    </row>
    <row r="879" customFormat="false" ht="35.05" hidden="false" customHeight="false" outlineLevel="0" collapsed="false">
      <c r="A879" s="58" t="s">
        <v>619</v>
      </c>
      <c r="B879" s="58" t="s">
        <v>613</v>
      </c>
      <c r="C879" s="5" t="s">
        <v>2874</v>
      </c>
      <c r="D879" s="6" t="s">
        <v>2875</v>
      </c>
      <c r="E879" s="6" t="s">
        <v>2660</v>
      </c>
      <c r="F879" s="6" t="s">
        <v>730</v>
      </c>
      <c r="G879" s="6" t="s">
        <v>2661</v>
      </c>
      <c r="H879" s="6"/>
      <c r="I879" s="26" t="n">
        <v>4</v>
      </c>
      <c r="J879" s="26" t="n">
        <f aca="false">COUNTIFS('Control Library'!$A$5:$A$50,"AI-CTRL-007",'Control Library'!$R$5:$R$50,"Implemented")+COUNTIFS('Control Library'!$A$5:$A$50,"AI-CTRL-013",'Control Library'!$R$5:$R$50,"Implemented")+COUNTIFS('Control Library'!$A$5:$A$50,"AI-CTRL-017",'Control Library'!$R$5:$R$50,"Implemented")+COUNTIFS('Control Library'!$A$5:$A$50,"AI-CTRL-035",'Control Library'!$R$5:$R$50,"Implemented")</f>
        <v>0</v>
      </c>
      <c r="K879" s="43" t="str">
        <f aca="false">IF(I879=0,"No wiki control",IF(J879=I879,"Fully covered",IF(J879=0,"Not covered","Partly covered")))</f>
        <v>Not covered</v>
      </c>
      <c r="L879" s="9" t="s">
        <v>2873</v>
      </c>
    </row>
    <row r="880" customFormat="false" ht="23.85" hidden="false" customHeight="false" outlineLevel="0" collapsed="false">
      <c r="A880" s="58" t="s">
        <v>619</v>
      </c>
      <c r="B880" s="58" t="s">
        <v>613</v>
      </c>
      <c r="C880" s="5" t="s">
        <v>2876</v>
      </c>
      <c r="D880" s="6" t="s">
        <v>2877</v>
      </c>
      <c r="E880" s="6" t="s">
        <v>2814</v>
      </c>
      <c r="F880" s="6" t="s">
        <v>730</v>
      </c>
      <c r="G880" s="6" t="s">
        <v>2815</v>
      </c>
      <c r="H880" s="6"/>
      <c r="I880" s="26" t="n">
        <v>2</v>
      </c>
      <c r="J880" s="26" t="n">
        <f aca="false">COUNTIFS('Control Library'!$A$5:$A$50,"AI-CTRL-012",'Control Library'!$R$5:$R$50,"Implemented")+COUNTIFS('Control Library'!$A$5:$A$50,"AI-CTRL-013",'Control Library'!$R$5:$R$50,"Implemented")</f>
        <v>0</v>
      </c>
      <c r="K880" s="43" t="str">
        <f aca="false">IF(I880=0,"No wiki control",IF(J880=I880,"Fully covered",IF(J880=0,"Not covered","Partly covered")))</f>
        <v>Not covered</v>
      </c>
      <c r="L880" s="9" t="s">
        <v>2873</v>
      </c>
    </row>
    <row r="881" customFormat="false" ht="23.85" hidden="false" customHeight="false" outlineLevel="0" collapsed="false">
      <c r="A881" s="58" t="s">
        <v>619</v>
      </c>
      <c r="B881" s="58" t="s">
        <v>613</v>
      </c>
      <c r="C881" s="5" t="s">
        <v>2878</v>
      </c>
      <c r="D881" s="6" t="s">
        <v>2879</v>
      </c>
      <c r="E881" s="6" t="s">
        <v>2880</v>
      </c>
      <c r="F881" s="6" t="s">
        <v>730</v>
      </c>
      <c r="G881" s="6" t="s">
        <v>2881</v>
      </c>
      <c r="H881" s="6"/>
      <c r="I881" s="26" t="n">
        <v>2</v>
      </c>
      <c r="J881" s="26" t="n">
        <f aca="false">COUNTIFS('Control Library'!$A$5:$A$50,"AI-CTRL-014",'Control Library'!$R$5:$R$50,"Implemented")+COUNTIFS('Control Library'!$A$5:$A$50,"AI-CTRL-039",'Control Library'!$R$5:$R$50,"Implemented")</f>
        <v>0</v>
      </c>
      <c r="K881" s="43" t="str">
        <f aca="false">IF(I881=0,"No wiki control",IF(J881=I881,"Fully covered",IF(J881=0,"Not covered","Partly covered")))</f>
        <v>Not covered</v>
      </c>
      <c r="L881" s="9" t="s">
        <v>2873</v>
      </c>
    </row>
    <row r="882" customFormat="false" ht="23.85" hidden="false" customHeight="false" outlineLevel="0" collapsed="false">
      <c r="A882" s="58" t="s">
        <v>620</v>
      </c>
      <c r="B882" s="58" t="s">
        <v>613</v>
      </c>
      <c r="C882" s="5" t="s">
        <v>2882</v>
      </c>
      <c r="D882" s="6" t="s">
        <v>2883</v>
      </c>
      <c r="E882" s="6"/>
      <c r="F882" s="6" t="s">
        <v>640</v>
      </c>
      <c r="G882" s="6"/>
      <c r="H882" s="6"/>
      <c r="I882" s="26" t="n">
        <v>0</v>
      </c>
      <c r="J882" s="26" t="n">
        <f aca="false">0</f>
        <v>0</v>
      </c>
      <c r="K882" s="43" t="str">
        <f aca="false">IF(I882=0,"No wiki control",IF(J882=I882,"Fully covered",IF(J882=0,"Not covered","Partly covered")))</f>
        <v>No wiki control</v>
      </c>
      <c r="L882" s="9" t="s">
        <v>2884</v>
      </c>
    </row>
    <row r="883" customFormat="false" ht="23.85" hidden="false" customHeight="false" outlineLevel="0" collapsed="false">
      <c r="A883" s="58" t="s">
        <v>620</v>
      </c>
      <c r="B883" s="58" t="s">
        <v>613</v>
      </c>
      <c r="C883" s="5" t="s">
        <v>2885</v>
      </c>
      <c r="D883" s="6" t="s">
        <v>2886</v>
      </c>
      <c r="E883" s="6" t="s">
        <v>2887</v>
      </c>
      <c r="F883" s="6" t="s">
        <v>730</v>
      </c>
      <c r="G883" s="6" t="s">
        <v>2852</v>
      </c>
      <c r="H883" s="6"/>
      <c r="I883" s="26" t="n">
        <v>3</v>
      </c>
      <c r="J883" s="26" t="n">
        <f aca="false">COUNTIFS('Control Library'!$A$5:$A$50,"AI-CTRL-007",'Control Library'!$R$5:$R$50,"Implemented")+COUNTIFS('Control Library'!$A$5:$A$50,"AI-CTRL-013",'Control Library'!$R$5:$R$50,"Implemented")+COUNTIFS('Control Library'!$A$5:$A$50,"AI-CTRL-035",'Control Library'!$R$5:$R$50,"Implemented")</f>
        <v>0</v>
      </c>
      <c r="K883" s="43" t="str">
        <f aca="false">IF(I883=0,"No wiki control",IF(J883=I883,"Fully covered",IF(J883=0,"Not covered","Partly covered")))</f>
        <v>Not covered</v>
      </c>
      <c r="L883" s="9" t="s">
        <v>2884</v>
      </c>
    </row>
    <row r="884" customFormat="false" ht="35.05" hidden="false" customHeight="false" outlineLevel="0" collapsed="false">
      <c r="A884" s="58" t="s">
        <v>620</v>
      </c>
      <c r="B884" s="58" t="s">
        <v>613</v>
      </c>
      <c r="C884" s="5" t="s">
        <v>2888</v>
      </c>
      <c r="D884" s="6" t="s">
        <v>2889</v>
      </c>
      <c r="E884" s="6" t="s">
        <v>2760</v>
      </c>
      <c r="F884" s="6" t="s">
        <v>730</v>
      </c>
      <c r="G884" s="6" t="s">
        <v>2761</v>
      </c>
      <c r="H884" s="6"/>
      <c r="I884" s="26" t="n">
        <v>3</v>
      </c>
      <c r="J884" s="26" t="n">
        <f aca="false">COUNTIFS('Control Library'!$A$5:$A$50,"AI-CTRL-013",'Control Library'!$R$5:$R$50,"Implemented")+COUNTIFS('Control Library'!$A$5:$A$50,"AI-CTRL-023",'Control Library'!$R$5:$R$50,"Implemented")+COUNTIFS('Control Library'!$A$5:$A$50,"AI-CTRL-041",'Control Library'!$R$5:$R$50,"Implemented")</f>
        <v>0</v>
      </c>
      <c r="K884" s="43" t="str">
        <f aca="false">IF(I884=0,"No wiki control",IF(J884=I884,"Fully covered",IF(J884=0,"Not covered","Partly covered")))</f>
        <v>Not covered</v>
      </c>
      <c r="L884" s="9" t="s">
        <v>2884</v>
      </c>
    </row>
    <row r="885" customFormat="false" ht="23.85" hidden="false" customHeight="false" outlineLevel="0" collapsed="false">
      <c r="A885" s="58" t="s">
        <v>620</v>
      </c>
      <c r="B885" s="58" t="s">
        <v>613</v>
      </c>
      <c r="C885" s="5" t="s">
        <v>2890</v>
      </c>
      <c r="D885" s="6" t="s">
        <v>2891</v>
      </c>
      <c r="E885" s="6" t="s">
        <v>2892</v>
      </c>
      <c r="F885" s="6" t="s">
        <v>730</v>
      </c>
      <c r="G885" s="6" t="s">
        <v>2893</v>
      </c>
      <c r="H885" s="6"/>
      <c r="I885" s="26" t="n">
        <v>3</v>
      </c>
      <c r="J885" s="26" t="n">
        <f aca="false">COUNTIFS('Control Library'!$A$5:$A$50,"AI-CTRL-011",'Control Library'!$R$5:$R$50,"Implemented")+COUNTIFS('Control Library'!$A$5:$A$50,"AI-CTRL-037",'Control Library'!$R$5:$R$50,"Implemented")+COUNTIFS('Control Library'!$A$5:$A$50,"AI-CTRL-039",'Control Library'!$R$5:$R$50,"Implemented")</f>
        <v>0</v>
      </c>
      <c r="K885" s="43" t="str">
        <f aca="false">IF(I885=0,"No wiki control",IF(J885=I885,"Fully covered",IF(J885=0,"Not covered","Partly covered")))</f>
        <v>Not covered</v>
      </c>
      <c r="L885" s="9" t="s">
        <v>2884</v>
      </c>
    </row>
    <row r="886" customFormat="false" ht="35.05" hidden="false" customHeight="false" outlineLevel="0" collapsed="false">
      <c r="A886" s="58" t="s">
        <v>620</v>
      </c>
      <c r="B886" s="58" t="s">
        <v>613</v>
      </c>
      <c r="C886" s="5" t="s">
        <v>2894</v>
      </c>
      <c r="D886" s="6" t="s">
        <v>2895</v>
      </c>
      <c r="E886" s="6" t="s">
        <v>2896</v>
      </c>
      <c r="F886" s="6" t="s">
        <v>730</v>
      </c>
      <c r="G886" s="6" t="s">
        <v>2897</v>
      </c>
      <c r="H886" s="6"/>
      <c r="I886" s="26" t="n">
        <v>2</v>
      </c>
      <c r="J886" s="26" t="n">
        <f aca="false">COUNTIFS('Control Library'!$A$5:$A$50,"AI-CTRL-012",'Control Library'!$R$5:$R$50,"Implemented")+COUNTIFS('Control Library'!$A$5:$A$50,"AI-CTRL-039",'Control Library'!$R$5:$R$50,"Implemented")</f>
        <v>0</v>
      </c>
      <c r="K886" s="43" t="str">
        <f aca="false">IF(I886=0,"No wiki control",IF(J886=I886,"Fully covered",IF(J886=0,"Not covered","Partly covered")))</f>
        <v>Not covered</v>
      </c>
      <c r="L886" s="9" t="s">
        <v>2884</v>
      </c>
    </row>
    <row r="887" customFormat="false" ht="23.85" hidden="false" customHeight="false" outlineLevel="0" collapsed="false">
      <c r="A887" s="58" t="s">
        <v>620</v>
      </c>
      <c r="B887" s="58" t="s">
        <v>613</v>
      </c>
      <c r="C887" s="5" t="s">
        <v>2898</v>
      </c>
      <c r="D887" s="6" t="s">
        <v>2899</v>
      </c>
      <c r="E887" s="6" t="s">
        <v>2619</v>
      </c>
      <c r="F887" s="6" t="s">
        <v>730</v>
      </c>
      <c r="G887" s="6" t="s">
        <v>2620</v>
      </c>
      <c r="H887" s="6"/>
      <c r="I887" s="26" t="n">
        <v>3</v>
      </c>
      <c r="J887" s="26" t="n">
        <f aca="false">COUNTIFS('Control Library'!$A$5:$A$50,"AI-CTRL-011",'Control Library'!$R$5:$R$50,"Implemented")+COUNTIFS('Control Library'!$A$5:$A$50,"AI-CTRL-037",'Control Library'!$R$5:$R$50,"Implemented")+COUNTIFS('Control Library'!$A$5:$A$50,"AI-CTRL-038",'Control Library'!$R$5:$R$50,"Implemented")</f>
        <v>0</v>
      </c>
      <c r="K887" s="43" t="str">
        <f aca="false">IF(I887=0,"No wiki control",IF(J887=I887,"Fully covered",IF(J887=0,"Not covered","Partly covered")))</f>
        <v>Not covered</v>
      </c>
      <c r="L887" s="9" t="s">
        <v>2884</v>
      </c>
    </row>
    <row r="888" customFormat="false" ht="23.85" hidden="false" customHeight="false" outlineLevel="0" collapsed="false">
      <c r="A888" s="58" t="s">
        <v>620</v>
      </c>
      <c r="B888" s="58" t="s">
        <v>613</v>
      </c>
      <c r="C888" s="5" t="s">
        <v>2900</v>
      </c>
      <c r="D888" s="6" t="s">
        <v>2901</v>
      </c>
      <c r="E888" s="6" t="s">
        <v>2902</v>
      </c>
      <c r="F888" s="6" t="s">
        <v>730</v>
      </c>
      <c r="G888" s="6" t="s">
        <v>2903</v>
      </c>
      <c r="H888" s="6"/>
      <c r="I888" s="26" t="n">
        <v>2</v>
      </c>
      <c r="J888" s="26" t="n">
        <f aca="false">COUNTIFS('Control Library'!$A$5:$A$50,"AI-CTRL-013",'Control Library'!$R$5:$R$50,"Implemented")+COUNTIFS('Control Library'!$A$5:$A$50,"AI-CTRL-039",'Control Library'!$R$5:$R$50,"Implemented")</f>
        <v>0</v>
      </c>
      <c r="K888" s="43" t="str">
        <f aca="false">IF(I888=0,"No wiki control",IF(J888=I888,"Fully covered",IF(J888=0,"Not covered","Partly covered")))</f>
        <v>Not covered</v>
      </c>
      <c r="L888" s="9" t="s">
        <v>2884</v>
      </c>
    </row>
    <row r="889" customFormat="false" ht="35.05" hidden="false" customHeight="false" outlineLevel="0" collapsed="false">
      <c r="A889" s="58" t="s">
        <v>620</v>
      </c>
      <c r="B889" s="58" t="s">
        <v>613</v>
      </c>
      <c r="C889" s="5" t="s">
        <v>2904</v>
      </c>
      <c r="D889" s="6" t="s">
        <v>2905</v>
      </c>
      <c r="E889" s="6" t="s">
        <v>263</v>
      </c>
      <c r="F889" s="6" t="s">
        <v>730</v>
      </c>
      <c r="G889" s="6" t="s">
        <v>266</v>
      </c>
      <c r="H889" s="6"/>
      <c r="I889" s="26" t="n">
        <v>1</v>
      </c>
      <c r="J889" s="26" t="n">
        <f aca="false">COUNTIFS('Control Library'!$A$5:$A$50,"AI-CTRL-012",'Control Library'!$R$5:$R$50,"Implemented")</f>
        <v>0</v>
      </c>
      <c r="K889" s="43" t="str">
        <f aca="false">IF(I889=0,"No wiki control",IF(J889=I889,"Fully covered",IF(J889=0,"Not covered","Partly covered")))</f>
        <v>Not covered</v>
      </c>
      <c r="L889" s="9" t="s">
        <v>2884</v>
      </c>
    </row>
    <row r="890" customFormat="false" ht="35.05" hidden="false" customHeight="false" outlineLevel="0" collapsed="false">
      <c r="A890" s="58" t="s">
        <v>621</v>
      </c>
      <c r="B890" s="58" t="s">
        <v>613</v>
      </c>
      <c r="C890" s="5" t="s">
        <v>2906</v>
      </c>
      <c r="D890" s="6" t="s">
        <v>2907</v>
      </c>
      <c r="E890" s="6" t="s">
        <v>2908</v>
      </c>
      <c r="F890" s="6" t="s">
        <v>730</v>
      </c>
      <c r="G890" s="6" t="s">
        <v>2909</v>
      </c>
      <c r="H890" s="6"/>
      <c r="I890" s="26" t="n">
        <v>3</v>
      </c>
      <c r="J890" s="26" t="n">
        <f aca="false">COUNTIFS('Control Library'!$A$5:$A$50,"AI-CTRL-012",'Control Library'!$R$5:$R$50,"Implemented")+COUNTIFS('Control Library'!$A$5:$A$50,"AI-CTRL-013",'Control Library'!$R$5:$R$50,"Implemented")+COUNTIFS('Control Library'!$A$5:$A$50,"AI-CTRL-039",'Control Library'!$R$5:$R$50,"Implemented")</f>
        <v>0</v>
      </c>
      <c r="K890" s="43" t="str">
        <f aca="false">IF(I890=0,"No wiki control",IF(J890=I890,"Fully covered",IF(J890=0,"Not covered","Partly covered")))</f>
        <v>Not covered</v>
      </c>
      <c r="L890" s="9" t="s">
        <v>2910</v>
      </c>
    </row>
    <row r="891" customFormat="false" ht="35.05" hidden="false" customHeight="false" outlineLevel="0" collapsed="false">
      <c r="A891" s="58" t="s">
        <v>621</v>
      </c>
      <c r="B891" s="58" t="s">
        <v>613</v>
      </c>
      <c r="C891" s="5" t="s">
        <v>2911</v>
      </c>
      <c r="D891" s="6" t="s">
        <v>2912</v>
      </c>
      <c r="E891" s="6" t="s">
        <v>2913</v>
      </c>
      <c r="F891" s="6" t="s">
        <v>730</v>
      </c>
      <c r="G891" s="6" t="s">
        <v>2914</v>
      </c>
      <c r="H891" s="6"/>
      <c r="I891" s="26" t="n">
        <v>3</v>
      </c>
      <c r="J891" s="26" t="n">
        <f aca="false">COUNTIFS('Control Library'!$A$5:$A$50,"AI-CTRL-011",'Control Library'!$R$5:$R$50,"Implemented")+COUNTIFS('Control Library'!$A$5:$A$50,"AI-CTRL-013",'Control Library'!$R$5:$R$50,"Implemented")+COUNTIFS('Control Library'!$A$5:$A$50,"AI-CTRL-039",'Control Library'!$R$5:$R$50,"Implemented")</f>
        <v>0</v>
      </c>
      <c r="K891" s="43" t="str">
        <f aca="false">IF(I891=0,"No wiki control",IF(J891=I891,"Fully covered",IF(J891=0,"Not covered","Partly covered")))</f>
        <v>Not covered</v>
      </c>
      <c r="L891" s="9" t="s">
        <v>2910</v>
      </c>
    </row>
    <row r="892" customFormat="false" ht="23.85" hidden="false" customHeight="false" outlineLevel="0" collapsed="false">
      <c r="A892" s="58" t="s">
        <v>621</v>
      </c>
      <c r="B892" s="58" t="s">
        <v>613</v>
      </c>
      <c r="C892" s="5" t="s">
        <v>2915</v>
      </c>
      <c r="D892" s="6" t="s">
        <v>2916</v>
      </c>
      <c r="E892" s="6" t="s">
        <v>486</v>
      </c>
      <c r="F892" s="6" t="s">
        <v>730</v>
      </c>
      <c r="G892" s="6" t="s">
        <v>490</v>
      </c>
      <c r="H892" s="6"/>
      <c r="I892" s="26" t="n">
        <v>1</v>
      </c>
      <c r="J892" s="26" t="n">
        <f aca="false">COUNTIFS('Control Library'!$A$5:$A$50,"AI-CTRL-039",'Control Library'!$R$5:$R$50,"Implemented")</f>
        <v>0</v>
      </c>
      <c r="K892" s="43" t="str">
        <f aca="false">IF(I892=0,"No wiki control",IF(J892=I892,"Fully covered",IF(J892=0,"Not covered","Partly covered")))</f>
        <v>Not covered</v>
      </c>
      <c r="L892" s="9" t="s">
        <v>2910</v>
      </c>
    </row>
    <row r="893" customFormat="false" ht="23.85" hidden="false" customHeight="false" outlineLevel="0" collapsed="false">
      <c r="A893" s="58" t="s">
        <v>621</v>
      </c>
      <c r="B893" s="58" t="s">
        <v>613</v>
      </c>
      <c r="C893" s="5" t="s">
        <v>2917</v>
      </c>
      <c r="D893" s="6" t="s">
        <v>2918</v>
      </c>
      <c r="E893" s="6" t="s">
        <v>486</v>
      </c>
      <c r="F893" s="6" t="s">
        <v>730</v>
      </c>
      <c r="G893" s="6" t="s">
        <v>490</v>
      </c>
      <c r="H893" s="6"/>
      <c r="I893" s="26" t="n">
        <v>1</v>
      </c>
      <c r="J893" s="26" t="n">
        <f aca="false">COUNTIFS('Control Library'!$A$5:$A$50,"AI-CTRL-039",'Control Library'!$R$5:$R$50,"Implemented")</f>
        <v>0</v>
      </c>
      <c r="K893" s="43" t="str">
        <f aca="false">IF(I893=0,"No wiki control",IF(J893=I893,"Fully covered",IF(J893=0,"Not covered","Partly covered")))</f>
        <v>Not covered</v>
      </c>
      <c r="L893" s="9" t="s">
        <v>2910</v>
      </c>
    </row>
    <row r="894" customFormat="false" ht="38.05" hidden="false" customHeight="false" outlineLevel="0" collapsed="false">
      <c r="A894" s="58" t="s">
        <v>621</v>
      </c>
      <c r="B894" s="58" t="s">
        <v>613</v>
      </c>
      <c r="C894" s="5" t="s">
        <v>2919</v>
      </c>
      <c r="D894" s="6" t="s">
        <v>2920</v>
      </c>
      <c r="E894" s="6" t="s">
        <v>2824</v>
      </c>
      <c r="F894" s="6" t="s">
        <v>730</v>
      </c>
      <c r="G894" s="6" t="s">
        <v>2825</v>
      </c>
      <c r="H894" s="6"/>
      <c r="I894" s="26" t="n">
        <v>3</v>
      </c>
      <c r="J894" s="26" t="n">
        <f aca="false">COUNTIFS('Control Library'!$A$5:$A$50,"AI-CTRL-012",'Control Library'!$R$5:$R$50,"Implemented")+COUNTIFS('Control Library'!$A$5:$A$50,"AI-CTRL-037",'Control Library'!$R$5:$R$50,"Implemented")+COUNTIFS('Control Library'!$A$5:$A$50,"AI-CTRL-041",'Control Library'!$R$5:$R$50,"Implemented")</f>
        <v>0</v>
      </c>
      <c r="K894" s="43" t="str">
        <f aca="false">IF(I894=0,"No wiki control",IF(J894=I894,"Fully covered",IF(J894=0,"Not covered","Partly covered")))</f>
        <v>Not covered</v>
      </c>
      <c r="L894" s="9" t="s">
        <v>2910</v>
      </c>
    </row>
    <row r="895" customFormat="false" ht="38.05" hidden="false" customHeight="false" outlineLevel="0" collapsed="false">
      <c r="A895" s="58" t="s">
        <v>621</v>
      </c>
      <c r="B895" s="58" t="s">
        <v>613</v>
      </c>
      <c r="C895" s="5" t="s">
        <v>2921</v>
      </c>
      <c r="D895" s="6" t="s">
        <v>2922</v>
      </c>
      <c r="E895" s="6" t="s">
        <v>2923</v>
      </c>
      <c r="F895" s="6" t="s">
        <v>730</v>
      </c>
      <c r="G895" s="6" t="s">
        <v>2924</v>
      </c>
      <c r="H895" s="6"/>
      <c r="I895" s="26" t="n">
        <v>2</v>
      </c>
      <c r="J895" s="26" t="n">
        <f aca="false">COUNTIFS('Control Library'!$A$5:$A$50,"AI-CTRL-023",'Control Library'!$R$5:$R$50,"Implemented")+COUNTIFS('Control Library'!$A$5:$A$50,"AI-CTRL-039",'Control Library'!$R$5:$R$50,"Implemented")</f>
        <v>0</v>
      </c>
      <c r="K895" s="43" t="str">
        <f aca="false">IF(I895=0,"No wiki control",IF(J895=I895,"Fully covered",IF(J895=0,"Not covered","Partly covered")))</f>
        <v>Not covered</v>
      </c>
      <c r="L895" s="9" t="s">
        <v>2910</v>
      </c>
    </row>
    <row r="896" customFormat="false" ht="35.05" hidden="false" customHeight="false" outlineLevel="0" collapsed="false">
      <c r="A896" s="58" t="s">
        <v>621</v>
      </c>
      <c r="B896" s="58" t="s">
        <v>613</v>
      </c>
      <c r="C896" s="5" t="s">
        <v>2925</v>
      </c>
      <c r="D896" s="6" t="s">
        <v>2926</v>
      </c>
      <c r="E896" s="6" t="s">
        <v>2927</v>
      </c>
      <c r="F896" s="6" t="s">
        <v>730</v>
      </c>
      <c r="G896" s="6" t="s">
        <v>2928</v>
      </c>
      <c r="H896" s="6"/>
      <c r="I896" s="26" t="n">
        <v>4</v>
      </c>
      <c r="J896" s="26" t="n">
        <f aca="false">COUNTIFS('Control Library'!$A$5:$A$50,"AI-CTRL-005",'Control Library'!$R$5:$R$50,"Implemented")+COUNTIFS('Control Library'!$A$5:$A$50,"AI-CTRL-007",'Control Library'!$R$5:$R$50,"Implemented")+COUNTIFS('Control Library'!$A$5:$A$50,"AI-CTRL-013",'Control Library'!$R$5:$R$50,"Implemented")+COUNTIFS('Control Library'!$A$5:$A$50,"AI-CTRL-035",'Control Library'!$R$5:$R$50,"Implemented")</f>
        <v>0</v>
      </c>
      <c r="K896" s="43" t="str">
        <f aca="false">IF(I896=0,"No wiki control",IF(J896=I896,"Fully covered",IF(J896=0,"Not covered","Partly covered")))</f>
        <v>Not covered</v>
      </c>
      <c r="L896" s="9" t="s">
        <v>2910</v>
      </c>
    </row>
    <row r="897" customFormat="false" ht="23.85" hidden="false" customHeight="false" outlineLevel="0" collapsed="false">
      <c r="A897" s="58" t="s">
        <v>621</v>
      </c>
      <c r="B897" s="58" t="s">
        <v>613</v>
      </c>
      <c r="C897" s="5" t="s">
        <v>2929</v>
      </c>
      <c r="D897" s="6" t="s">
        <v>2930</v>
      </c>
      <c r="E897" s="6"/>
      <c r="F897" s="6" t="s">
        <v>640</v>
      </c>
      <c r="G897" s="6"/>
      <c r="H897" s="6"/>
      <c r="I897" s="26" t="n">
        <v>0</v>
      </c>
      <c r="J897" s="26" t="n">
        <f aca="false">0</f>
        <v>0</v>
      </c>
      <c r="K897" s="43" t="str">
        <f aca="false">IF(I897=0,"No wiki control",IF(J897=I897,"Fully covered",IF(J897=0,"Not covered","Partly covered")))</f>
        <v>No wiki control</v>
      </c>
      <c r="L897" s="9" t="s">
        <v>2910</v>
      </c>
    </row>
    <row r="898" customFormat="false" ht="23.85" hidden="false" customHeight="false" outlineLevel="0" collapsed="false">
      <c r="A898" s="58" t="s">
        <v>621</v>
      </c>
      <c r="B898" s="58" t="s">
        <v>613</v>
      </c>
      <c r="C898" s="5" t="s">
        <v>2931</v>
      </c>
      <c r="D898" s="6" t="s">
        <v>2932</v>
      </c>
      <c r="E898" s="6" t="s">
        <v>272</v>
      </c>
      <c r="F898" s="6" t="s">
        <v>730</v>
      </c>
      <c r="G898" s="6" t="s">
        <v>276</v>
      </c>
      <c r="H898" s="6"/>
      <c r="I898" s="26" t="n">
        <v>1</v>
      </c>
      <c r="J898" s="26" t="n">
        <f aca="false">COUNTIFS('Control Library'!$A$5:$A$50,"AI-CTRL-013",'Control Library'!$R$5:$R$50,"Implemented")</f>
        <v>0</v>
      </c>
      <c r="K898" s="43" t="str">
        <f aca="false">IF(I898=0,"No wiki control",IF(J898=I898,"Fully covered",IF(J898=0,"Not covered","Partly covered")))</f>
        <v>Not covered</v>
      </c>
      <c r="L898" s="9" t="s">
        <v>2910</v>
      </c>
    </row>
    <row r="899" customFormat="false" ht="35.05" hidden="false" customHeight="false" outlineLevel="0" collapsed="false">
      <c r="A899" s="58" t="s">
        <v>622</v>
      </c>
      <c r="B899" s="58" t="s">
        <v>613</v>
      </c>
      <c r="C899" s="5" t="s">
        <v>2933</v>
      </c>
      <c r="D899" s="6" t="s">
        <v>2934</v>
      </c>
      <c r="E899" s="6" t="s">
        <v>2660</v>
      </c>
      <c r="F899" s="6" t="s">
        <v>730</v>
      </c>
      <c r="G899" s="6" t="s">
        <v>2661</v>
      </c>
      <c r="H899" s="6"/>
      <c r="I899" s="26" t="n">
        <v>4</v>
      </c>
      <c r="J899" s="26" t="n">
        <f aca="false">COUNTIFS('Control Library'!$A$5:$A$50,"AI-CTRL-007",'Control Library'!$R$5:$R$50,"Implemented")+COUNTIFS('Control Library'!$A$5:$A$50,"AI-CTRL-013",'Control Library'!$R$5:$R$50,"Implemented")+COUNTIFS('Control Library'!$A$5:$A$50,"AI-CTRL-017",'Control Library'!$R$5:$R$50,"Implemented")+COUNTIFS('Control Library'!$A$5:$A$50,"AI-CTRL-035",'Control Library'!$R$5:$R$50,"Implemented")</f>
        <v>0</v>
      </c>
      <c r="K899" s="43" t="str">
        <f aca="false">IF(I899=0,"No wiki control",IF(J899=I899,"Fully covered",IF(J899=0,"Not covered","Partly covered")))</f>
        <v>Not covered</v>
      </c>
      <c r="L899" s="9" t="s">
        <v>2935</v>
      </c>
    </row>
    <row r="900" customFormat="false" ht="23.85" hidden="false" customHeight="false" outlineLevel="0" collapsed="false">
      <c r="A900" s="58" t="s">
        <v>622</v>
      </c>
      <c r="B900" s="58" t="s">
        <v>613</v>
      </c>
      <c r="C900" s="5" t="s">
        <v>2936</v>
      </c>
      <c r="D900" s="6" t="s">
        <v>2937</v>
      </c>
      <c r="E900" s="6" t="s">
        <v>2887</v>
      </c>
      <c r="F900" s="6" t="s">
        <v>730</v>
      </c>
      <c r="G900" s="6" t="s">
        <v>2852</v>
      </c>
      <c r="H900" s="6"/>
      <c r="I900" s="26" t="n">
        <v>3</v>
      </c>
      <c r="J900" s="26" t="n">
        <f aca="false">COUNTIFS('Control Library'!$A$5:$A$50,"AI-CTRL-007",'Control Library'!$R$5:$R$50,"Implemented")+COUNTIFS('Control Library'!$A$5:$A$50,"AI-CTRL-013",'Control Library'!$R$5:$R$50,"Implemented")+COUNTIFS('Control Library'!$A$5:$A$50,"AI-CTRL-035",'Control Library'!$R$5:$R$50,"Implemented")</f>
        <v>0</v>
      </c>
      <c r="K900" s="43" t="str">
        <f aca="false">IF(I900=0,"No wiki control",IF(J900=I900,"Fully covered",IF(J900=0,"Not covered","Partly covered")))</f>
        <v>Not covered</v>
      </c>
      <c r="L900" s="9" t="s">
        <v>2935</v>
      </c>
    </row>
    <row r="901" customFormat="false" ht="23.85" hidden="false" customHeight="false" outlineLevel="0" collapsed="false">
      <c r="A901" s="58" t="s">
        <v>622</v>
      </c>
      <c r="B901" s="58" t="s">
        <v>613</v>
      </c>
      <c r="C901" s="5" t="s">
        <v>2938</v>
      </c>
      <c r="D901" s="6" t="s">
        <v>2939</v>
      </c>
      <c r="E901" s="6" t="s">
        <v>2851</v>
      </c>
      <c r="F901" s="6" t="s">
        <v>730</v>
      </c>
      <c r="G901" s="6" t="s">
        <v>2852</v>
      </c>
      <c r="H901" s="6"/>
      <c r="I901" s="26" t="n">
        <v>2</v>
      </c>
      <c r="J901" s="26" t="n">
        <f aca="false">COUNTIFS('Control Library'!$A$5:$A$50,"AI-CTRL-013",'Control Library'!$R$5:$R$50,"Implemented")+COUNTIFS('Control Library'!$A$5:$A$50,"AI-CTRL-035",'Control Library'!$R$5:$R$50,"Implemented")</f>
        <v>0</v>
      </c>
      <c r="K901" s="43" t="str">
        <f aca="false">IF(I901=0,"No wiki control",IF(J901=I901,"Fully covered",IF(J901=0,"Not covered","Partly covered")))</f>
        <v>Not covered</v>
      </c>
      <c r="L901" s="9" t="s">
        <v>2935</v>
      </c>
    </row>
    <row r="902" customFormat="false" ht="35.05" hidden="false" customHeight="false" outlineLevel="0" collapsed="false">
      <c r="A902" s="58" t="s">
        <v>622</v>
      </c>
      <c r="B902" s="58" t="s">
        <v>613</v>
      </c>
      <c r="C902" s="5" t="s">
        <v>2940</v>
      </c>
      <c r="D902" s="6" t="s">
        <v>2941</v>
      </c>
      <c r="E902" s="6" t="s">
        <v>2629</v>
      </c>
      <c r="F902" s="6" t="s">
        <v>730</v>
      </c>
      <c r="G902" s="6" t="s">
        <v>2630</v>
      </c>
      <c r="H902" s="6"/>
      <c r="I902" s="26" t="n">
        <v>3</v>
      </c>
      <c r="J902" s="26" t="n">
        <f aca="false">COUNTIFS('Control Library'!$A$5:$A$50,"AI-CTRL-012",'Control Library'!$R$5:$R$50,"Implemented")+COUNTIFS('Control Library'!$A$5:$A$50,"AI-CTRL-039",'Control Library'!$R$5:$R$50,"Implemented")+COUNTIFS('Control Library'!$A$5:$A$50,"AI-CTRL-041",'Control Library'!$R$5:$R$50,"Implemented")</f>
        <v>0</v>
      </c>
      <c r="K902" s="43" t="str">
        <f aca="false">IF(I902=0,"No wiki control",IF(J902=I902,"Fully covered",IF(J902=0,"Not covered","Partly covered")))</f>
        <v>Not covered</v>
      </c>
      <c r="L902" s="9" t="s">
        <v>2935</v>
      </c>
    </row>
    <row r="903" customFormat="false" ht="46.25" hidden="false" customHeight="false" outlineLevel="0" collapsed="false">
      <c r="A903" s="58" t="s">
        <v>622</v>
      </c>
      <c r="B903" s="58" t="s">
        <v>613</v>
      </c>
      <c r="C903" s="5" t="s">
        <v>2942</v>
      </c>
      <c r="D903" s="6" t="s">
        <v>2943</v>
      </c>
      <c r="E903" s="6" t="s">
        <v>2944</v>
      </c>
      <c r="F903" s="6" t="s">
        <v>730</v>
      </c>
      <c r="G903" s="6" t="s">
        <v>2945</v>
      </c>
      <c r="H903" s="6"/>
      <c r="I903" s="26" t="n">
        <v>5</v>
      </c>
      <c r="J903" s="26" t="n">
        <f aca="false">COUNTIFS('Control Library'!$A$5:$A$50,"AI-CTRL-011",'Control Library'!$R$5:$R$50,"Implemented")+COUNTIFS('Control Library'!$A$5:$A$50,"AI-CTRL-014",'Control Library'!$R$5:$R$50,"Implemented")+COUNTIFS('Control Library'!$A$5:$A$50,"AI-CTRL-023",'Control Library'!$R$5:$R$50,"Implemented")+COUNTIFS('Control Library'!$A$5:$A$50,"AI-CTRL-037",'Control Library'!$R$5:$R$50,"Implemented")+COUNTIFS('Control Library'!$A$5:$A$50,"AI-CTRL-041",'Control Library'!$R$5:$R$50,"Implemented")</f>
        <v>0</v>
      </c>
      <c r="K903" s="43" t="str">
        <f aca="false">IF(I903=0,"No wiki control",IF(J903=I903,"Fully covered",IF(J903=0,"Not covered","Partly covered")))</f>
        <v>Not covered</v>
      </c>
      <c r="L903" s="9" t="s">
        <v>2935</v>
      </c>
    </row>
    <row r="904" customFormat="false" ht="46.25" hidden="false" customHeight="false" outlineLevel="0" collapsed="false">
      <c r="A904" s="58" t="s">
        <v>622</v>
      </c>
      <c r="B904" s="58" t="s">
        <v>613</v>
      </c>
      <c r="C904" s="5" t="s">
        <v>2946</v>
      </c>
      <c r="D904" s="6" t="s">
        <v>2947</v>
      </c>
      <c r="E904" s="6" t="s">
        <v>2948</v>
      </c>
      <c r="F904" s="6" t="s">
        <v>730</v>
      </c>
      <c r="G904" s="6" t="s">
        <v>2949</v>
      </c>
      <c r="H904" s="6"/>
      <c r="I904" s="26" t="n">
        <v>5</v>
      </c>
      <c r="J904" s="26" t="n">
        <f aca="false">COUNTIFS('Control Library'!$A$5:$A$50,"AI-CTRL-011",'Control Library'!$R$5:$R$50,"Implemented")+COUNTIFS('Control Library'!$A$5:$A$50,"AI-CTRL-025",'Control Library'!$R$5:$R$50,"Implemented")+COUNTIFS('Control Library'!$A$5:$A$50,"AI-CTRL-037",'Control Library'!$R$5:$R$50,"Implemented")+COUNTIFS('Control Library'!$A$5:$A$50,"AI-CTRL-038",'Control Library'!$R$5:$R$50,"Implemented")+COUNTIFS('Control Library'!$A$5:$A$50,"AI-CTRL-045",'Control Library'!$R$5:$R$50,"Implemented")</f>
        <v>0</v>
      </c>
      <c r="K904" s="43" t="str">
        <f aca="false">IF(I904=0,"No wiki control",IF(J904=I904,"Fully covered",IF(J904=0,"Not covered","Partly covered")))</f>
        <v>Not covered</v>
      </c>
      <c r="L904" s="9" t="s">
        <v>2935</v>
      </c>
    </row>
    <row r="905" customFormat="false" ht="35.05" hidden="false" customHeight="false" outlineLevel="0" collapsed="false">
      <c r="A905" s="58" t="s">
        <v>622</v>
      </c>
      <c r="B905" s="58" t="s">
        <v>613</v>
      </c>
      <c r="C905" s="5" t="s">
        <v>2950</v>
      </c>
      <c r="D905" s="6" t="s">
        <v>2951</v>
      </c>
      <c r="E905" s="6" t="s">
        <v>2952</v>
      </c>
      <c r="F905" s="6" t="s">
        <v>730</v>
      </c>
      <c r="G905" s="6" t="s">
        <v>2953</v>
      </c>
      <c r="H905" s="6"/>
      <c r="I905" s="26" t="n">
        <v>3</v>
      </c>
      <c r="J905" s="26" t="n">
        <f aca="false">COUNTIFS('Control Library'!$A$5:$A$50,"AI-CTRL-011",'Control Library'!$R$5:$R$50,"Implemented")+COUNTIFS('Control Library'!$A$5:$A$50,"AI-CTRL-014",'Control Library'!$R$5:$R$50,"Implemented")+COUNTIFS('Control Library'!$A$5:$A$50,"AI-CTRL-038",'Control Library'!$R$5:$R$50,"Implemented")</f>
        <v>0</v>
      </c>
      <c r="K905" s="43" t="str">
        <f aca="false">IF(I905=0,"No wiki control",IF(J905=I905,"Fully covered",IF(J905=0,"Not covered","Partly covered")))</f>
        <v>Not covered</v>
      </c>
      <c r="L905" s="9" t="s">
        <v>2935</v>
      </c>
    </row>
    <row r="906" customFormat="false" ht="23.85" hidden="false" customHeight="false" outlineLevel="0" collapsed="false">
      <c r="A906" s="58" t="s">
        <v>622</v>
      </c>
      <c r="B906" s="58" t="s">
        <v>613</v>
      </c>
      <c r="C906" s="5" t="s">
        <v>2954</v>
      </c>
      <c r="D906" s="6" t="s">
        <v>2955</v>
      </c>
      <c r="E906" s="6" t="s">
        <v>2956</v>
      </c>
      <c r="F906" s="6" t="s">
        <v>730</v>
      </c>
      <c r="G906" s="6" t="s">
        <v>2957</v>
      </c>
      <c r="H906" s="6"/>
      <c r="I906" s="26" t="n">
        <v>2</v>
      </c>
      <c r="J906" s="26" t="n">
        <f aca="false">COUNTIFS('Control Library'!$A$5:$A$50,"AI-CTRL-005",'Control Library'!$R$5:$R$50,"Implemented")+COUNTIFS('Control Library'!$A$5:$A$50,"AI-CTRL-011",'Control Library'!$R$5:$R$50,"Implemented")</f>
        <v>0</v>
      </c>
      <c r="K906" s="43" t="str">
        <f aca="false">IF(I906=0,"No wiki control",IF(J906=I906,"Fully covered",IF(J906=0,"Not covered","Partly covered")))</f>
        <v>Not covered</v>
      </c>
      <c r="L906" s="9" t="s">
        <v>2935</v>
      </c>
    </row>
    <row r="907" customFormat="false" ht="23.85" hidden="false" customHeight="false" outlineLevel="0" collapsed="false">
      <c r="A907" s="58" t="s">
        <v>622</v>
      </c>
      <c r="B907" s="58" t="s">
        <v>613</v>
      </c>
      <c r="C907" s="5" t="s">
        <v>2958</v>
      </c>
      <c r="D907" s="6" t="s">
        <v>2959</v>
      </c>
      <c r="E907" s="6" t="s">
        <v>486</v>
      </c>
      <c r="F907" s="6" t="s">
        <v>730</v>
      </c>
      <c r="G907" s="6" t="s">
        <v>490</v>
      </c>
      <c r="H907" s="6"/>
      <c r="I907" s="26" t="n">
        <v>1</v>
      </c>
      <c r="J907" s="26" t="n">
        <f aca="false">COUNTIFS('Control Library'!$A$5:$A$50,"AI-CTRL-039",'Control Library'!$R$5:$R$50,"Implemented")</f>
        <v>0</v>
      </c>
      <c r="K907" s="43" t="str">
        <f aca="false">IF(I907=0,"No wiki control",IF(J907=I907,"Fully covered",IF(J907=0,"Not covered","Partly covered")))</f>
        <v>Not covered</v>
      </c>
      <c r="L907" s="9" t="s">
        <v>2935</v>
      </c>
    </row>
    <row r="908" customFormat="false" ht="23.85" hidden="false" customHeight="false" outlineLevel="0" collapsed="false">
      <c r="A908" s="58" t="s">
        <v>622</v>
      </c>
      <c r="B908" s="58" t="s">
        <v>613</v>
      </c>
      <c r="C908" s="5" t="s">
        <v>2960</v>
      </c>
      <c r="D908" s="6" t="s">
        <v>2961</v>
      </c>
      <c r="E908" s="6" t="s">
        <v>2719</v>
      </c>
      <c r="F908" s="6" t="s">
        <v>730</v>
      </c>
      <c r="G908" s="6" t="s">
        <v>2720</v>
      </c>
      <c r="H908" s="6"/>
      <c r="I908" s="26" t="n">
        <v>2</v>
      </c>
      <c r="J908" s="26" t="n">
        <f aca="false">COUNTIFS('Control Library'!$A$5:$A$50,"AI-CTRL-005",'Control Library'!$R$5:$R$50,"Implemented")+COUNTIFS('Control Library'!$A$5:$A$50,"AI-CTRL-035",'Control Library'!$R$5:$R$50,"Implemented")</f>
        <v>0</v>
      </c>
      <c r="K908" s="43" t="str">
        <f aca="false">IF(I908=0,"No wiki control",IF(J908=I908,"Fully covered",IF(J908=0,"Not covered","Partly covered")))</f>
        <v>Not covered</v>
      </c>
      <c r="L908" s="9" t="s">
        <v>2935</v>
      </c>
    </row>
    <row r="909" customFormat="false" ht="23.85" hidden="false" customHeight="false" outlineLevel="0" collapsed="false">
      <c r="A909" s="58" t="s">
        <v>622</v>
      </c>
      <c r="B909" s="58" t="s">
        <v>613</v>
      </c>
      <c r="C909" s="5" t="s">
        <v>2962</v>
      </c>
      <c r="D909" s="6" t="s">
        <v>2963</v>
      </c>
      <c r="E909" s="6" t="s">
        <v>2964</v>
      </c>
      <c r="F909" s="6" t="s">
        <v>730</v>
      </c>
      <c r="G909" s="6" t="s">
        <v>2965</v>
      </c>
      <c r="H909" s="6"/>
      <c r="I909" s="26" t="n">
        <v>2</v>
      </c>
      <c r="J909" s="26" t="n">
        <f aca="false">COUNTIFS('Control Library'!$A$5:$A$50,"AI-CTRL-005",'Control Library'!$R$5:$R$50,"Implemented")+COUNTIFS('Control Library'!$A$5:$A$50,"AI-CTRL-013",'Control Library'!$R$5:$R$50,"Implemented")</f>
        <v>0</v>
      </c>
      <c r="K909" s="43" t="str">
        <f aca="false">IF(I909=0,"No wiki control",IF(J909=I909,"Fully covered",IF(J909=0,"Not covered","Partly covered")))</f>
        <v>Not covered</v>
      </c>
      <c r="L909" s="9" t="s">
        <v>2935</v>
      </c>
    </row>
    <row r="910" customFormat="false" ht="23.85" hidden="false" customHeight="false" outlineLevel="0" collapsed="false">
      <c r="A910" s="58" t="s">
        <v>622</v>
      </c>
      <c r="B910" s="58" t="s">
        <v>613</v>
      </c>
      <c r="C910" s="5" t="s">
        <v>2966</v>
      </c>
      <c r="D910" s="6" t="s">
        <v>2967</v>
      </c>
      <c r="E910" s="6"/>
      <c r="F910" s="6" t="s">
        <v>640</v>
      </c>
      <c r="G910" s="6"/>
      <c r="H910" s="6"/>
      <c r="I910" s="26" t="n">
        <v>0</v>
      </c>
      <c r="J910" s="26" t="n">
        <f aca="false">0</f>
        <v>0</v>
      </c>
      <c r="K910" s="43" t="str">
        <f aca="false">IF(I910=0,"No wiki control",IF(J910=I910,"Fully covered",IF(J910=0,"Not covered","Partly covered")))</f>
        <v>No wiki control</v>
      </c>
      <c r="L910" s="9" t="s">
        <v>2935</v>
      </c>
    </row>
    <row r="911" customFormat="false" ht="57.45" hidden="false" customHeight="false" outlineLevel="0" collapsed="false">
      <c r="A911" s="58" t="s">
        <v>622</v>
      </c>
      <c r="B911" s="58" t="s">
        <v>613</v>
      </c>
      <c r="C911" s="5" t="s">
        <v>2968</v>
      </c>
      <c r="D911" s="6" t="s">
        <v>2969</v>
      </c>
      <c r="E911" s="6" t="s">
        <v>2970</v>
      </c>
      <c r="F911" s="6" t="s">
        <v>730</v>
      </c>
      <c r="G911" s="6" t="s">
        <v>2971</v>
      </c>
      <c r="H911" s="6"/>
      <c r="I911" s="26" t="n">
        <v>5</v>
      </c>
      <c r="J911" s="26" t="n">
        <f aca="false">COUNTIFS('Control Library'!$A$5:$A$50,"AI-CTRL-011",'Control Library'!$R$5:$R$50,"Implemented")+COUNTIFS('Control Library'!$A$5:$A$50,"AI-CTRL-012",'Control Library'!$R$5:$R$50,"Implemented")+COUNTIFS('Control Library'!$A$5:$A$50,"AI-CTRL-014",'Control Library'!$R$5:$R$50,"Implemented")+COUNTIFS('Control Library'!$A$5:$A$50,"AI-CTRL-025",'Control Library'!$R$5:$R$50,"Implemented")+COUNTIFS('Control Library'!$A$5:$A$50,"AI-CTRL-045",'Control Library'!$R$5:$R$50,"Implemented")</f>
        <v>0</v>
      </c>
      <c r="K911" s="43" t="str">
        <f aca="false">IF(I911=0,"No wiki control",IF(J911=I911,"Fully covered",IF(J911=0,"Not covered","Partly covered")))</f>
        <v>Not covered</v>
      </c>
      <c r="L911" s="9" t="s">
        <v>2935</v>
      </c>
    </row>
    <row r="912" customFormat="false" ht="23.85" hidden="false" customHeight="false" outlineLevel="0" collapsed="false">
      <c r="A912" s="58" t="s">
        <v>623</v>
      </c>
      <c r="B912" s="58" t="s">
        <v>613</v>
      </c>
      <c r="C912" s="5" t="s">
        <v>2972</v>
      </c>
      <c r="D912" s="6" t="s">
        <v>2973</v>
      </c>
      <c r="E912" s="6" t="s">
        <v>263</v>
      </c>
      <c r="F912" s="6" t="s">
        <v>730</v>
      </c>
      <c r="G912" s="6" t="s">
        <v>266</v>
      </c>
      <c r="H912" s="6"/>
      <c r="I912" s="26" t="n">
        <v>1</v>
      </c>
      <c r="J912" s="26" t="n">
        <f aca="false">COUNTIFS('Control Library'!$A$5:$A$50,"AI-CTRL-012",'Control Library'!$R$5:$R$50,"Implemented")</f>
        <v>0</v>
      </c>
      <c r="K912" s="43" t="str">
        <f aca="false">IF(I912=0,"No wiki control",IF(J912=I912,"Fully covered",IF(J912=0,"Not covered","Partly covered")))</f>
        <v>Not covered</v>
      </c>
      <c r="L912" s="9" t="s">
        <v>2974</v>
      </c>
    </row>
    <row r="913" customFormat="false" ht="23.85" hidden="false" customHeight="false" outlineLevel="0" collapsed="false">
      <c r="A913" s="58" t="s">
        <v>623</v>
      </c>
      <c r="B913" s="58" t="s">
        <v>613</v>
      </c>
      <c r="C913" s="5" t="s">
        <v>2975</v>
      </c>
      <c r="D913" s="6" t="s">
        <v>2976</v>
      </c>
      <c r="E913" s="6" t="s">
        <v>263</v>
      </c>
      <c r="F913" s="6" t="s">
        <v>730</v>
      </c>
      <c r="G913" s="6" t="s">
        <v>266</v>
      </c>
      <c r="H913" s="6"/>
      <c r="I913" s="26" t="n">
        <v>1</v>
      </c>
      <c r="J913" s="26" t="n">
        <f aca="false">COUNTIFS('Control Library'!$A$5:$A$50,"AI-CTRL-012",'Control Library'!$R$5:$R$50,"Implemented")</f>
        <v>0</v>
      </c>
      <c r="K913" s="43" t="str">
        <f aca="false">IF(I913=0,"No wiki control",IF(J913=I913,"Fully covered",IF(J913=0,"Not covered","Partly covered")))</f>
        <v>Not covered</v>
      </c>
      <c r="L913" s="9" t="s">
        <v>2974</v>
      </c>
    </row>
    <row r="914" customFormat="false" ht="46.25" hidden="false" customHeight="false" outlineLevel="0" collapsed="false">
      <c r="A914" s="58" t="s">
        <v>623</v>
      </c>
      <c r="B914" s="58" t="s">
        <v>613</v>
      </c>
      <c r="C914" s="5" t="s">
        <v>2977</v>
      </c>
      <c r="D914" s="6" t="s">
        <v>2978</v>
      </c>
      <c r="E914" s="6" t="s">
        <v>2979</v>
      </c>
      <c r="F914" s="6" t="s">
        <v>730</v>
      </c>
      <c r="G914" s="6" t="s">
        <v>2980</v>
      </c>
      <c r="H914" s="6"/>
      <c r="I914" s="26" t="n">
        <v>4</v>
      </c>
      <c r="J914" s="26" t="n">
        <f aca="false">COUNTIFS('Control Library'!$A$5:$A$50,"AI-CTRL-012",'Control Library'!$R$5:$R$50,"Implemented")+COUNTIFS('Control Library'!$A$5:$A$50,"AI-CTRL-037",'Control Library'!$R$5:$R$50,"Implemented")+COUNTIFS('Control Library'!$A$5:$A$50,"AI-CTRL-039",'Control Library'!$R$5:$R$50,"Implemented")+COUNTIFS('Control Library'!$A$5:$A$50,"AI-CTRL-041",'Control Library'!$R$5:$R$50,"Implemented")</f>
        <v>0</v>
      </c>
      <c r="K914" s="43" t="str">
        <f aca="false">IF(I914=0,"No wiki control",IF(J914=I914,"Fully covered",IF(J914=0,"Not covered","Partly covered")))</f>
        <v>Not covered</v>
      </c>
      <c r="L914" s="9" t="s">
        <v>2974</v>
      </c>
    </row>
    <row r="915" customFormat="false" ht="23.85" hidden="false" customHeight="false" outlineLevel="0" collapsed="false">
      <c r="A915" s="58" t="s">
        <v>623</v>
      </c>
      <c r="B915" s="58" t="s">
        <v>613</v>
      </c>
      <c r="C915" s="5" t="s">
        <v>2981</v>
      </c>
      <c r="D915" s="6" t="s">
        <v>2982</v>
      </c>
      <c r="E915" s="6" t="s">
        <v>2887</v>
      </c>
      <c r="F915" s="6" t="s">
        <v>730</v>
      </c>
      <c r="G915" s="6" t="s">
        <v>2852</v>
      </c>
      <c r="H915" s="6"/>
      <c r="I915" s="26" t="n">
        <v>3</v>
      </c>
      <c r="J915" s="26" t="n">
        <f aca="false">COUNTIFS('Control Library'!$A$5:$A$50,"AI-CTRL-007",'Control Library'!$R$5:$R$50,"Implemented")+COUNTIFS('Control Library'!$A$5:$A$50,"AI-CTRL-013",'Control Library'!$R$5:$R$50,"Implemented")+COUNTIFS('Control Library'!$A$5:$A$50,"AI-CTRL-035",'Control Library'!$R$5:$R$50,"Implemented")</f>
        <v>0</v>
      </c>
      <c r="K915" s="43" t="str">
        <f aca="false">IF(I915=0,"No wiki control",IF(J915=I915,"Fully covered",IF(J915=0,"Not covered","Partly covered")))</f>
        <v>Not covered</v>
      </c>
      <c r="L915" s="9" t="s">
        <v>2974</v>
      </c>
    </row>
    <row r="916" customFormat="false" ht="23.85" hidden="false" customHeight="false" outlineLevel="0" collapsed="false">
      <c r="A916" s="58" t="s">
        <v>623</v>
      </c>
      <c r="B916" s="58" t="s">
        <v>613</v>
      </c>
      <c r="C916" s="5" t="s">
        <v>2983</v>
      </c>
      <c r="D916" s="6" t="s">
        <v>2984</v>
      </c>
      <c r="E916" s="6" t="s">
        <v>404</v>
      </c>
      <c r="F916" s="6" t="s">
        <v>730</v>
      </c>
      <c r="G916" s="6" t="s">
        <v>399</v>
      </c>
      <c r="H916" s="6"/>
      <c r="I916" s="26" t="n">
        <v>1</v>
      </c>
      <c r="J916" s="26" t="n">
        <f aca="false">COUNTIFS('Control Library'!$A$5:$A$50,"AI-CTRL-029",'Control Library'!$R$5:$R$50,"Implemented")</f>
        <v>0</v>
      </c>
      <c r="K916" s="43" t="str">
        <f aca="false">IF(I916=0,"No wiki control",IF(J916=I916,"Fully covered",IF(J916=0,"Not covered","Partly covered")))</f>
        <v>Not covered</v>
      </c>
      <c r="L916" s="9" t="s">
        <v>2974</v>
      </c>
    </row>
    <row r="917" customFormat="false" ht="23.85" hidden="false" customHeight="false" outlineLevel="0" collapsed="false">
      <c r="A917" s="58" t="s">
        <v>623</v>
      </c>
      <c r="B917" s="58" t="s">
        <v>613</v>
      </c>
      <c r="C917" s="5" t="s">
        <v>2985</v>
      </c>
      <c r="D917" s="6" t="s">
        <v>2986</v>
      </c>
      <c r="E917" s="6" t="s">
        <v>2987</v>
      </c>
      <c r="F917" s="6" t="s">
        <v>730</v>
      </c>
      <c r="G917" s="6" t="s">
        <v>2988</v>
      </c>
      <c r="H917" s="6"/>
      <c r="I917" s="26" t="n">
        <v>2</v>
      </c>
      <c r="J917" s="26" t="n">
        <f aca="false">COUNTIFS('Control Library'!$A$5:$A$50,"AI-CTRL-014",'Control Library'!$R$5:$R$50,"Implemented")+COUNTIFS('Control Library'!$A$5:$A$50,"AI-CTRL-037",'Control Library'!$R$5:$R$50,"Implemented")</f>
        <v>0</v>
      </c>
      <c r="K917" s="43" t="str">
        <f aca="false">IF(I917=0,"No wiki control",IF(J917=I917,"Fully covered",IF(J917=0,"Not covered","Partly covered")))</f>
        <v>Not covered</v>
      </c>
      <c r="L917" s="9" t="s">
        <v>2974</v>
      </c>
    </row>
    <row r="918" customFormat="false" ht="23.85" hidden="false" customHeight="false" outlineLevel="0" collapsed="false">
      <c r="A918" s="58" t="s">
        <v>624</v>
      </c>
      <c r="B918" s="58" t="s">
        <v>613</v>
      </c>
      <c r="C918" s="5" t="s">
        <v>2989</v>
      </c>
      <c r="D918" s="6" t="s">
        <v>2990</v>
      </c>
      <c r="E918" s="6" t="s">
        <v>263</v>
      </c>
      <c r="F918" s="6" t="s">
        <v>730</v>
      </c>
      <c r="G918" s="6" t="s">
        <v>266</v>
      </c>
      <c r="H918" s="6" t="s">
        <v>657</v>
      </c>
      <c r="I918" s="26" t="n">
        <v>1</v>
      </c>
      <c r="J918" s="26" t="n">
        <f aca="false">COUNTIFS('Control Library'!$A$5:$A$50,"AI-CTRL-012",'Control Library'!$R$5:$R$50,"Implemented")</f>
        <v>0</v>
      </c>
      <c r="K918" s="43" t="str">
        <f aca="false">IF(I918=0,"No wiki control",IF(J918=I918,"Fully covered",IF(J918=0,"Not covered","Partly covered")))</f>
        <v>Not covered</v>
      </c>
      <c r="L918" s="9" t="s">
        <v>2991</v>
      </c>
    </row>
    <row r="919" customFormat="false" ht="35.05" hidden="false" customHeight="false" outlineLevel="0" collapsed="false">
      <c r="A919" s="58" t="s">
        <v>624</v>
      </c>
      <c r="B919" s="58" t="s">
        <v>613</v>
      </c>
      <c r="C919" s="5" t="s">
        <v>2992</v>
      </c>
      <c r="D919" s="6" t="s">
        <v>2993</v>
      </c>
      <c r="E919" s="6" t="s">
        <v>826</v>
      </c>
      <c r="F919" s="6" t="s">
        <v>730</v>
      </c>
      <c r="G919" s="6" t="s">
        <v>473</v>
      </c>
      <c r="H919" s="6" t="s">
        <v>642</v>
      </c>
      <c r="I919" s="26" t="n">
        <v>2</v>
      </c>
      <c r="J919" s="26" t="n">
        <f aca="false">COUNTIFS('Control Library'!$A$5:$A$50,"AI-CTRL-011",'Control Library'!$R$5:$R$50,"Implemented")+COUNTIFS('Control Library'!$A$5:$A$50,"AI-CTRL-037",'Control Library'!$R$5:$R$50,"Implemented")</f>
        <v>0</v>
      </c>
      <c r="K919" s="43" t="str">
        <f aca="false">IF(I919=0,"No wiki control",IF(J919=I919,"Fully covered",IF(J919=0,"Not covered","Partly covered")))</f>
        <v>Not covered</v>
      </c>
      <c r="L919" s="9" t="s">
        <v>2991</v>
      </c>
    </row>
    <row r="920" customFormat="false" ht="57.45" hidden="false" customHeight="false" outlineLevel="0" collapsed="false">
      <c r="A920" s="58" t="s">
        <v>624</v>
      </c>
      <c r="B920" s="58" t="s">
        <v>613</v>
      </c>
      <c r="C920" s="5" t="s">
        <v>2994</v>
      </c>
      <c r="D920" s="6" t="s">
        <v>2995</v>
      </c>
      <c r="E920" s="6" t="s">
        <v>2996</v>
      </c>
      <c r="F920" s="6" t="s">
        <v>730</v>
      </c>
      <c r="G920" s="6" t="s">
        <v>1012</v>
      </c>
      <c r="H920" s="6" t="s">
        <v>642</v>
      </c>
      <c r="I920" s="26" t="n">
        <v>4</v>
      </c>
      <c r="J920" s="26" t="n">
        <f aca="false">COUNTIFS('Control Library'!$A$5:$A$50,"AI-CTRL-001",'Control Library'!$R$5:$R$50,"Implemented")+COUNTIFS('Control Library'!$A$5:$A$50,"AI-CTRL-010",'Control Library'!$R$5:$R$50,"Implemented")+COUNTIFS('Control Library'!$A$5:$A$50,"AI-CTRL-012",'Control Library'!$R$5:$R$50,"Implemented")+COUNTIFS('Control Library'!$A$5:$A$50,"AI-CTRL-044",'Control Library'!$R$5:$R$50,"Implemented")</f>
        <v>0</v>
      </c>
      <c r="K920" s="43" t="str">
        <f aca="false">IF(I920=0,"No wiki control",IF(J920=I920,"Fully covered",IF(J920=0,"Not covered","Partly covered")))</f>
        <v>Not covered</v>
      </c>
      <c r="L920" s="9" t="s">
        <v>2991</v>
      </c>
    </row>
    <row r="921" customFormat="false" ht="46.25" hidden="false" customHeight="false" outlineLevel="0" collapsed="false">
      <c r="A921" s="58" t="s">
        <v>624</v>
      </c>
      <c r="B921" s="58" t="s">
        <v>613</v>
      </c>
      <c r="C921" s="5" t="s">
        <v>2997</v>
      </c>
      <c r="D921" s="6" t="s">
        <v>2998</v>
      </c>
      <c r="E921" s="6" t="s">
        <v>2566</v>
      </c>
      <c r="F921" s="6" t="s">
        <v>730</v>
      </c>
      <c r="G921" s="6" t="s">
        <v>2567</v>
      </c>
      <c r="H921" s="6" t="s">
        <v>657</v>
      </c>
      <c r="I921" s="26" t="n">
        <v>2</v>
      </c>
      <c r="J921" s="26" t="n">
        <f aca="false">COUNTIFS('Control Library'!$A$5:$A$50,"AI-CTRL-012",'Control Library'!$R$5:$R$50,"Implemented")+COUNTIFS('Control Library'!$A$5:$A$50,"AI-CTRL-037",'Control Library'!$R$5:$R$50,"Implemented")</f>
        <v>0</v>
      </c>
      <c r="K921" s="43" t="str">
        <f aca="false">IF(I921=0,"No wiki control",IF(J921=I921,"Fully covered",IF(J921=0,"Not covered","Partly covered")))</f>
        <v>Not covered</v>
      </c>
      <c r="L921" s="9" t="s">
        <v>2991</v>
      </c>
    </row>
    <row r="922" customFormat="false" ht="46.25" hidden="false" customHeight="false" outlineLevel="0" collapsed="false">
      <c r="A922" s="58" t="s">
        <v>624</v>
      </c>
      <c r="B922" s="58" t="s">
        <v>613</v>
      </c>
      <c r="C922" s="5" t="s">
        <v>2999</v>
      </c>
      <c r="D922" s="6" t="s">
        <v>3000</v>
      </c>
      <c r="E922" s="6" t="s">
        <v>3001</v>
      </c>
      <c r="F922" s="6" t="s">
        <v>730</v>
      </c>
      <c r="G922" s="6" t="s">
        <v>3002</v>
      </c>
      <c r="H922" s="6" t="s">
        <v>642</v>
      </c>
      <c r="I922" s="26" t="n">
        <v>3</v>
      </c>
      <c r="J922" s="26" t="n">
        <f aca="false">COUNTIFS('Control Library'!$A$5:$A$50,"AI-CTRL-012",'Control Library'!$R$5:$R$50,"Implemented")+COUNTIFS('Control Library'!$A$5:$A$50,"AI-CTRL-035",'Control Library'!$R$5:$R$50,"Implemented")+COUNTIFS('Control Library'!$A$5:$A$50,"AI-CTRL-044",'Control Library'!$R$5:$R$50,"Implemented")</f>
        <v>0</v>
      </c>
      <c r="K922" s="43" t="str">
        <f aca="false">IF(I922=0,"No wiki control",IF(J922=I922,"Fully covered",IF(J922=0,"Not covered","Partly covered")))</f>
        <v>Not covered</v>
      </c>
      <c r="L922" s="9" t="s">
        <v>2991</v>
      </c>
    </row>
    <row r="923" customFormat="false" ht="35.05" hidden="false" customHeight="false" outlineLevel="0" collapsed="false">
      <c r="A923" s="58" t="s">
        <v>624</v>
      </c>
      <c r="B923" s="58" t="s">
        <v>613</v>
      </c>
      <c r="C923" s="5" t="s">
        <v>3003</v>
      </c>
      <c r="D923" s="6" t="s">
        <v>3004</v>
      </c>
      <c r="E923" s="6" t="s">
        <v>2096</v>
      </c>
      <c r="F923" s="6" t="s">
        <v>730</v>
      </c>
      <c r="G923" s="6" t="s">
        <v>258</v>
      </c>
      <c r="H923" s="6" t="s">
        <v>642</v>
      </c>
      <c r="I923" s="26" t="n">
        <v>2</v>
      </c>
      <c r="J923" s="26" t="n">
        <f aca="false">COUNTIFS('Control Library'!$A$5:$A$50,"AI-CTRL-001",'Control Library'!$R$5:$R$50,"Implemented")+COUNTIFS('Control Library'!$A$5:$A$50,"AI-CTRL-011",'Control Library'!$R$5:$R$50,"Implemented")</f>
        <v>0</v>
      </c>
      <c r="K923" s="43" t="str">
        <f aca="false">IF(I923=0,"No wiki control",IF(J923=I923,"Fully covered",IF(J923=0,"Not covered","Partly covered")))</f>
        <v>Not covered</v>
      </c>
      <c r="L923" s="9" t="s">
        <v>2991</v>
      </c>
    </row>
    <row r="924" customFormat="false" ht="35.05" hidden="false" customHeight="false" outlineLevel="0" collapsed="false">
      <c r="A924" s="58" t="s">
        <v>624</v>
      </c>
      <c r="B924" s="58" t="s">
        <v>613</v>
      </c>
      <c r="C924" s="5" t="s">
        <v>3005</v>
      </c>
      <c r="D924" s="6" t="s">
        <v>3006</v>
      </c>
      <c r="E924" s="6" t="s">
        <v>1185</v>
      </c>
      <c r="F924" s="6" t="s">
        <v>730</v>
      </c>
      <c r="G924" s="6" t="s">
        <v>1017</v>
      </c>
      <c r="H924" s="6" t="s">
        <v>642</v>
      </c>
      <c r="I924" s="26" t="n">
        <v>2</v>
      </c>
      <c r="J924" s="26" t="n">
        <f aca="false">COUNTIFS('Control Library'!$A$5:$A$50,"AI-CTRL-006",'Control Library'!$R$5:$R$50,"Implemented")+COUNTIFS('Control Library'!$A$5:$A$50,"AI-CTRL-011",'Control Library'!$R$5:$R$50,"Implemented")</f>
        <v>0</v>
      </c>
      <c r="K924" s="43" t="str">
        <f aca="false">IF(I924=0,"No wiki control",IF(J924=I924,"Fully covered",IF(J924=0,"Not covered","Partly covered")))</f>
        <v>Not covered</v>
      </c>
      <c r="L924" s="9" t="s">
        <v>2991</v>
      </c>
    </row>
    <row r="925" customFormat="false" ht="35.05" hidden="false" customHeight="false" outlineLevel="0" collapsed="false">
      <c r="A925" s="58" t="s">
        <v>624</v>
      </c>
      <c r="B925" s="58" t="s">
        <v>613</v>
      </c>
      <c r="C925" s="5" t="s">
        <v>3007</v>
      </c>
      <c r="D925" s="6" t="s">
        <v>3008</v>
      </c>
      <c r="E925" s="6" t="s">
        <v>826</v>
      </c>
      <c r="F925" s="6" t="s">
        <v>730</v>
      </c>
      <c r="G925" s="6" t="s">
        <v>473</v>
      </c>
      <c r="H925" s="6" t="s">
        <v>642</v>
      </c>
      <c r="I925" s="26" t="n">
        <v>2</v>
      </c>
      <c r="J925" s="26" t="n">
        <f aca="false">COUNTIFS('Control Library'!$A$5:$A$50,"AI-CTRL-011",'Control Library'!$R$5:$R$50,"Implemented")+COUNTIFS('Control Library'!$A$5:$A$50,"AI-CTRL-037",'Control Library'!$R$5:$R$50,"Implemented")</f>
        <v>0</v>
      </c>
      <c r="K925" s="43" t="str">
        <f aca="false">IF(I925=0,"No wiki control",IF(J925=I925,"Fully covered",IF(J925=0,"Not covered","Partly covered")))</f>
        <v>Not covered</v>
      </c>
      <c r="L925" s="9" t="s">
        <v>2991</v>
      </c>
    </row>
    <row r="926" customFormat="false" ht="23.85" hidden="false" customHeight="false" outlineLevel="0" collapsed="false">
      <c r="A926" s="58" t="s">
        <v>624</v>
      </c>
      <c r="B926" s="58" t="s">
        <v>613</v>
      </c>
      <c r="C926" s="5" t="s">
        <v>3009</v>
      </c>
      <c r="D926" s="6" t="s">
        <v>3010</v>
      </c>
      <c r="E926" s="6" t="s">
        <v>3011</v>
      </c>
      <c r="F926" s="6" t="s">
        <v>730</v>
      </c>
      <c r="G926" s="6" t="s">
        <v>1493</v>
      </c>
      <c r="H926" s="6" t="s">
        <v>642</v>
      </c>
      <c r="I926" s="26" t="n">
        <v>2</v>
      </c>
      <c r="J926" s="26" t="n">
        <f aca="false">COUNTIFS('Control Library'!$A$5:$A$50,"AI-CTRL-025",'Control Library'!$R$5:$R$50,"Implemented")+COUNTIFS('Control Library'!$A$5:$A$50,"AI-CTRL-040",'Control Library'!$R$5:$R$50,"Implemented")</f>
        <v>0</v>
      </c>
      <c r="K926" s="43" t="str">
        <f aca="false">IF(I926=0,"No wiki control",IF(J926=I926,"Fully covered",IF(J926=0,"Not covered","Partly covered")))</f>
        <v>Not covered</v>
      </c>
      <c r="L926" s="9" t="s">
        <v>2991</v>
      </c>
    </row>
    <row r="927" customFormat="false" ht="35.05" hidden="false" customHeight="false" outlineLevel="0" collapsed="false">
      <c r="A927" s="58" t="s">
        <v>624</v>
      </c>
      <c r="B927" s="58" t="s">
        <v>613</v>
      </c>
      <c r="C927" s="5" t="s">
        <v>3012</v>
      </c>
      <c r="D927" s="6" t="s">
        <v>3013</v>
      </c>
      <c r="E927" s="6" t="s">
        <v>1957</v>
      </c>
      <c r="F927" s="6" t="s">
        <v>730</v>
      </c>
      <c r="G927" s="6" t="s">
        <v>1958</v>
      </c>
      <c r="H927" s="6" t="s">
        <v>642</v>
      </c>
      <c r="I927" s="26" t="n">
        <v>3</v>
      </c>
      <c r="J927" s="26" t="n">
        <f aca="false">COUNTIFS('Control Library'!$A$5:$A$50,"AI-CTRL-013",'Control Library'!$R$5:$R$50,"Implemented")+COUNTIFS('Control Library'!$A$5:$A$50,"AI-CTRL-017",'Control Library'!$R$5:$R$50,"Implemented")+COUNTIFS('Control Library'!$A$5:$A$50,"AI-CTRL-029",'Control Library'!$R$5:$R$50,"Implemented")</f>
        <v>0</v>
      </c>
      <c r="K927" s="43" t="str">
        <f aca="false">IF(I927=0,"No wiki control",IF(J927=I927,"Fully covered",IF(J927=0,"Not covered","Partly covered")))</f>
        <v>Not covered</v>
      </c>
      <c r="L927" s="9" t="s">
        <v>2991</v>
      </c>
    </row>
    <row r="928" customFormat="false" ht="35.05" hidden="false" customHeight="false" outlineLevel="0" collapsed="false">
      <c r="A928" s="58" t="s">
        <v>624</v>
      </c>
      <c r="B928" s="58" t="s">
        <v>613</v>
      </c>
      <c r="C928" s="5" t="s">
        <v>3014</v>
      </c>
      <c r="D928" s="6" t="s">
        <v>3015</v>
      </c>
      <c r="E928" s="6" t="s">
        <v>1658</v>
      </c>
      <c r="F928" s="6" t="s">
        <v>730</v>
      </c>
      <c r="G928" s="6" t="s">
        <v>1659</v>
      </c>
      <c r="H928" s="6" t="s">
        <v>642</v>
      </c>
      <c r="I928" s="26" t="n">
        <v>2</v>
      </c>
      <c r="J928" s="26" t="n">
        <f aca="false">COUNTIFS('Control Library'!$A$5:$A$50,"AI-CTRL-039",'Control Library'!$R$5:$R$50,"Implemented")+COUNTIFS('Control Library'!$A$5:$A$50,"AI-CTRL-041",'Control Library'!$R$5:$R$50,"Implemented")</f>
        <v>0</v>
      </c>
      <c r="K928" s="43" t="str">
        <f aca="false">IF(I928=0,"No wiki control",IF(J928=I928,"Fully covered",IF(J928=0,"Not covered","Partly covered")))</f>
        <v>Not covered</v>
      </c>
      <c r="L928" s="9" t="s">
        <v>2991</v>
      </c>
    </row>
    <row r="929" customFormat="false" ht="35.05" hidden="false" customHeight="false" outlineLevel="0" collapsed="false">
      <c r="A929" s="58" t="s">
        <v>624</v>
      </c>
      <c r="B929" s="58" t="s">
        <v>613</v>
      </c>
      <c r="C929" s="5" t="s">
        <v>3016</v>
      </c>
      <c r="D929" s="6" t="s">
        <v>3017</v>
      </c>
      <c r="E929" s="6" t="s">
        <v>504</v>
      </c>
      <c r="F929" s="6" t="s">
        <v>730</v>
      </c>
      <c r="G929" s="6" t="s">
        <v>507</v>
      </c>
      <c r="H929" s="6" t="s">
        <v>642</v>
      </c>
      <c r="I929" s="26" t="n">
        <v>1</v>
      </c>
      <c r="J929" s="26" t="n">
        <f aca="false">COUNTIFS('Control Library'!$A$5:$A$50,"AI-CTRL-041",'Control Library'!$R$5:$R$50,"Implemented")</f>
        <v>0</v>
      </c>
      <c r="K929" s="43" t="str">
        <f aca="false">IF(I929=0,"No wiki control",IF(J929=I929,"Fully covered",IF(J929=0,"Not covered","Partly covered")))</f>
        <v>Not covered</v>
      </c>
      <c r="L929" s="9" t="s">
        <v>2991</v>
      </c>
    </row>
    <row r="930" customFormat="false" ht="46.25" hidden="false" customHeight="false" outlineLevel="0" collapsed="false">
      <c r="A930" s="58" t="s">
        <v>624</v>
      </c>
      <c r="B930" s="58" t="s">
        <v>613</v>
      </c>
      <c r="C930" s="5" t="s">
        <v>3018</v>
      </c>
      <c r="D930" s="6" t="s">
        <v>3019</v>
      </c>
      <c r="E930" s="6" t="s">
        <v>805</v>
      </c>
      <c r="F930" s="6" t="s">
        <v>730</v>
      </c>
      <c r="G930" s="6" t="s">
        <v>542</v>
      </c>
      <c r="H930" s="6" t="s">
        <v>642</v>
      </c>
      <c r="I930" s="26" t="n">
        <v>2</v>
      </c>
      <c r="J930" s="26" t="n">
        <f aca="false">COUNTIFS('Control Library'!$A$5:$A$50,"AI-CTRL-023",'Control Library'!$R$5:$R$50,"Implemented")+COUNTIFS('Control Library'!$A$5:$A$50,"AI-CTRL-045",'Control Library'!$R$5:$R$50,"Implemented")</f>
        <v>0</v>
      </c>
      <c r="K930" s="43" t="str">
        <f aca="false">IF(I930=0,"No wiki control",IF(J930=I930,"Fully covered",IF(J930=0,"Not covered","Partly covered")))</f>
        <v>Not covered</v>
      </c>
      <c r="L930" s="9" t="s">
        <v>2991</v>
      </c>
    </row>
    <row r="931" customFormat="false" ht="46.25" hidden="false" customHeight="false" outlineLevel="0" collapsed="false">
      <c r="A931" s="58" t="s">
        <v>624</v>
      </c>
      <c r="B931" s="58" t="s">
        <v>613</v>
      </c>
      <c r="C931" s="5" t="s">
        <v>3020</v>
      </c>
      <c r="D931" s="6" t="s">
        <v>3021</v>
      </c>
      <c r="E931" s="6" t="s">
        <v>951</v>
      </c>
      <c r="F931" s="6" t="s">
        <v>730</v>
      </c>
      <c r="G931" s="6" t="s">
        <v>3022</v>
      </c>
      <c r="H931" s="6" t="s">
        <v>642</v>
      </c>
      <c r="I931" s="26" t="n">
        <v>3</v>
      </c>
      <c r="J931" s="26" t="n">
        <f aca="false">COUNTIFS('Control Library'!$A$5:$A$50,"AI-CTRL-014",'Control Library'!$R$5:$R$50,"Implemented")+COUNTIFS('Control Library'!$A$5:$A$50,"AI-CTRL-031",'Control Library'!$R$5:$R$50,"Implemented")+COUNTIFS('Control Library'!$A$5:$A$50,"AI-CTRL-040",'Control Library'!$R$5:$R$50,"Implemented")</f>
        <v>0</v>
      </c>
      <c r="K931" s="43" t="str">
        <f aca="false">IF(I931=0,"No wiki control",IF(J931=I931,"Fully covered",IF(J931=0,"Not covered","Partly covered")))</f>
        <v>Not covered</v>
      </c>
      <c r="L931" s="9" t="s">
        <v>2991</v>
      </c>
    </row>
    <row r="932" customFormat="false" ht="23.85" hidden="false" customHeight="false" outlineLevel="0" collapsed="false">
      <c r="A932" s="58" t="s">
        <v>624</v>
      </c>
      <c r="B932" s="58" t="s">
        <v>613</v>
      </c>
      <c r="C932" s="5" t="s">
        <v>3023</v>
      </c>
      <c r="D932" s="6" t="s">
        <v>3024</v>
      </c>
      <c r="E932" s="6" t="s">
        <v>435</v>
      </c>
      <c r="F932" s="6" t="s">
        <v>730</v>
      </c>
      <c r="G932" s="6" t="s">
        <v>439</v>
      </c>
      <c r="H932" s="6" t="s">
        <v>657</v>
      </c>
      <c r="I932" s="26" t="n">
        <v>1</v>
      </c>
      <c r="J932" s="26" t="n">
        <f aca="false">COUNTIFS('Control Library'!$A$5:$A$50,"AI-CTRL-033",'Control Library'!$R$5:$R$50,"Implemented")</f>
        <v>0</v>
      </c>
      <c r="K932" s="43" t="str">
        <f aca="false">IF(I932=0,"No wiki control",IF(J932=I932,"Fully covered",IF(J932=0,"Not covered","Partly covered")))</f>
        <v>Not covered</v>
      </c>
      <c r="L932" s="9" t="s">
        <v>2991</v>
      </c>
    </row>
    <row r="933" customFormat="false" ht="46.25" hidden="false" customHeight="false" outlineLevel="0" collapsed="false">
      <c r="A933" s="58" t="s">
        <v>624</v>
      </c>
      <c r="B933" s="58" t="s">
        <v>613</v>
      </c>
      <c r="C933" s="5" t="s">
        <v>3025</v>
      </c>
      <c r="D933" s="6" t="s">
        <v>3026</v>
      </c>
      <c r="E933" s="6" t="s">
        <v>3027</v>
      </c>
      <c r="F933" s="6" t="s">
        <v>730</v>
      </c>
      <c r="G933" s="6" t="s">
        <v>3028</v>
      </c>
      <c r="H933" s="6" t="s">
        <v>657</v>
      </c>
      <c r="I933" s="26" t="n">
        <v>3</v>
      </c>
      <c r="J933" s="26" t="n">
        <f aca="false">COUNTIFS('Control Library'!$A$5:$A$50,"AI-CTRL-034",'Control Library'!$R$5:$R$50,"Implemented")+COUNTIFS('Control Library'!$A$5:$A$50,"AI-CTRL-039",'Control Library'!$R$5:$R$50,"Implemented")+COUNTIFS('Control Library'!$A$5:$A$50,"AI-CTRL-041",'Control Library'!$R$5:$R$50,"Implemented")</f>
        <v>0</v>
      </c>
      <c r="K933" s="43" t="str">
        <f aca="false">IF(I933=0,"No wiki control",IF(J933=I933,"Fully covered",IF(J933=0,"Not covered","Partly covered")))</f>
        <v>Not covered</v>
      </c>
      <c r="L933" s="9" t="s">
        <v>2991</v>
      </c>
    </row>
    <row r="934" customFormat="false" ht="35.05" hidden="false" customHeight="false" outlineLevel="0" collapsed="false">
      <c r="A934" s="58" t="s">
        <v>624</v>
      </c>
      <c r="B934" s="58" t="s">
        <v>613</v>
      </c>
      <c r="C934" s="5" t="s">
        <v>3029</v>
      </c>
      <c r="D934" s="6" t="s">
        <v>3030</v>
      </c>
      <c r="E934" s="6" t="s">
        <v>3031</v>
      </c>
      <c r="F934" s="6" t="s">
        <v>730</v>
      </c>
      <c r="G934" s="6" t="s">
        <v>3032</v>
      </c>
      <c r="H934" s="6" t="s">
        <v>642</v>
      </c>
      <c r="I934" s="26" t="n">
        <v>4</v>
      </c>
      <c r="J934" s="26" t="n">
        <f aca="false">COUNTIFS('Control Library'!$A$5:$A$50,"AI-CTRL-005",'Control Library'!$R$5:$R$50,"Implemented")+COUNTIFS('Control Library'!$A$5:$A$50,"AI-CTRL-016",'Control Library'!$R$5:$R$50,"Implemented")+COUNTIFS('Control Library'!$A$5:$A$50,"AI-CTRL-024",'Control Library'!$R$5:$R$50,"Implemented")+COUNTIFS('Control Library'!$A$5:$A$50,"AI-CTRL-032",'Control Library'!$R$5:$R$50,"Implemented")</f>
        <v>0</v>
      </c>
      <c r="K934" s="43" t="str">
        <f aca="false">IF(I934=0,"No wiki control",IF(J934=I934,"Fully covered",IF(J934=0,"Not covered","Partly covered")))</f>
        <v>Not covered</v>
      </c>
      <c r="L934" s="9" t="s">
        <v>2991</v>
      </c>
    </row>
    <row r="935" customFormat="false" ht="23.85" hidden="false" customHeight="false" outlineLevel="0" collapsed="false">
      <c r="A935" s="58" t="s">
        <v>624</v>
      </c>
      <c r="B935" s="58" t="s">
        <v>613</v>
      </c>
      <c r="C935" s="5" t="s">
        <v>3033</v>
      </c>
      <c r="D935" s="6" t="s">
        <v>3034</v>
      </c>
      <c r="E935" s="6" t="s">
        <v>3035</v>
      </c>
      <c r="F935" s="6" t="s">
        <v>730</v>
      </c>
      <c r="G935" s="6" t="s">
        <v>3036</v>
      </c>
      <c r="H935" s="6" t="s">
        <v>642</v>
      </c>
      <c r="I935" s="26" t="n">
        <v>2</v>
      </c>
      <c r="J935" s="26" t="n">
        <f aca="false">COUNTIFS('Control Library'!$A$5:$A$50,"AI-CTRL-030",'Control Library'!$R$5:$R$50,"Implemented")+COUNTIFS('Control Library'!$A$5:$A$50,"AI-CTRL-038",'Control Library'!$R$5:$R$50,"Implemented")</f>
        <v>0</v>
      </c>
      <c r="K935" s="43" t="str">
        <f aca="false">IF(I935=0,"No wiki control",IF(J935=I935,"Fully covered",IF(J935=0,"Not covered","Partly covered")))</f>
        <v>Not covered</v>
      </c>
      <c r="L935" s="9" t="s">
        <v>2991</v>
      </c>
    </row>
    <row r="936" customFormat="false" ht="46.25" hidden="false" customHeight="false" outlineLevel="0" collapsed="false">
      <c r="A936" s="58" t="s">
        <v>624</v>
      </c>
      <c r="B936" s="58" t="s">
        <v>613</v>
      </c>
      <c r="C936" s="5" t="s">
        <v>3037</v>
      </c>
      <c r="D936" s="6" t="s">
        <v>3038</v>
      </c>
      <c r="E936" s="6" t="s">
        <v>3039</v>
      </c>
      <c r="F936" s="6" t="s">
        <v>730</v>
      </c>
      <c r="G936" s="6" t="s">
        <v>3040</v>
      </c>
      <c r="H936" s="6" t="s">
        <v>657</v>
      </c>
      <c r="I936" s="26" t="n">
        <v>2</v>
      </c>
      <c r="J936" s="26" t="n">
        <f aca="false">COUNTIFS('Control Library'!$A$5:$A$50,"AI-CTRL-033",'Control Library'!$R$5:$R$50,"Implemented")+COUNTIFS('Control Library'!$A$5:$A$50,"AI-CTRL-038",'Control Library'!$R$5:$R$50,"Implemented")</f>
        <v>0</v>
      </c>
      <c r="K936" s="43" t="str">
        <f aca="false">IF(I936=0,"No wiki control",IF(J936=I936,"Fully covered",IF(J936=0,"Not covered","Partly covered")))</f>
        <v>Not covered</v>
      </c>
      <c r="L936" s="9" t="s">
        <v>2991</v>
      </c>
    </row>
    <row r="937" customFormat="false" ht="46.25" hidden="false" customHeight="false" outlineLevel="0" collapsed="false">
      <c r="A937" s="58" t="s">
        <v>624</v>
      </c>
      <c r="B937" s="58" t="s">
        <v>613</v>
      </c>
      <c r="C937" s="5" t="s">
        <v>3041</v>
      </c>
      <c r="D937" s="6" t="s">
        <v>3042</v>
      </c>
      <c r="E937" s="6" t="s">
        <v>3043</v>
      </c>
      <c r="F937" s="6" t="s">
        <v>730</v>
      </c>
      <c r="G937" s="6" t="s">
        <v>3044</v>
      </c>
      <c r="H937" s="6" t="s">
        <v>642</v>
      </c>
      <c r="I937" s="26" t="n">
        <v>3</v>
      </c>
      <c r="J937" s="26" t="n">
        <f aca="false">COUNTIFS('Control Library'!$A$5:$A$50,"AI-CTRL-032",'Control Library'!$R$5:$R$50,"Implemented")+COUNTIFS('Control Library'!$A$5:$A$50,"AI-CTRL-033",'Control Library'!$R$5:$R$50,"Implemented")+COUNTIFS('Control Library'!$A$5:$A$50,"AI-CTRL-034",'Control Library'!$R$5:$R$50,"Implemented")</f>
        <v>0</v>
      </c>
      <c r="K937" s="43" t="str">
        <f aca="false">IF(I937=0,"No wiki control",IF(J937=I937,"Fully covered",IF(J937=0,"Not covered","Partly covered")))</f>
        <v>Not covered</v>
      </c>
      <c r="L937" s="9" t="s">
        <v>2991</v>
      </c>
    </row>
    <row r="938" customFormat="false" ht="46.25" hidden="false" customHeight="false" outlineLevel="0" collapsed="false">
      <c r="A938" s="58" t="s">
        <v>624</v>
      </c>
      <c r="B938" s="58" t="s">
        <v>613</v>
      </c>
      <c r="C938" s="5" t="s">
        <v>3045</v>
      </c>
      <c r="D938" s="6" t="s">
        <v>3046</v>
      </c>
      <c r="E938" s="6" t="s">
        <v>3047</v>
      </c>
      <c r="F938" s="6" t="s">
        <v>730</v>
      </c>
      <c r="G938" s="6" t="s">
        <v>1776</v>
      </c>
      <c r="H938" s="6" t="s">
        <v>642</v>
      </c>
      <c r="I938" s="26" t="n">
        <v>3</v>
      </c>
      <c r="J938" s="26" t="n">
        <f aca="false">COUNTIFS('Control Library'!$A$5:$A$50,"AI-CTRL-008",'Control Library'!$R$5:$R$50,"Implemented")+COUNTIFS('Control Library'!$A$5:$A$50,"AI-CTRL-009",'Control Library'!$R$5:$R$50,"Implemented")+COUNTIFS('Control Library'!$A$5:$A$50,"AI-CTRL-035",'Control Library'!$R$5:$R$50,"Implemented")</f>
        <v>0</v>
      </c>
      <c r="K938" s="43" t="str">
        <f aca="false">IF(I938=0,"No wiki control",IF(J938=I938,"Fully covered",IF(J938=0,"Not covered","Partly covered")))</f>
        <v>Not covered</v>
      </c>
      <c r="L938" s="9" t="s">
        <v>2991</v>
      </c>
    </row>
    <row r="939" customFormat="false" ht="35.05" hidden="false" customHeight="false" outlineLevel="0" collapsed="false">
      <c r="A939" s="58" t="s">
        <v>624</v>
      </c>
      <c r="B939" s="58" t="s">
        <v>613</v>
      </c>
      <c r="C939" s="5" t="s">
        <v>3048</v>
      </c>
      <c r="D939" s="6" t="s">
        <v>3049</v>
      </c>
      <c r="E939" s="6" t="s">
        <v>1192</v>
      </c>
      <c r="F939" s="6" t="s">
        <v>730</v>
      </c>
      <c r="G939" s="6" t="s">
        <v>1193</v>
      </c>
      <c r="H939" s="6" t="s">
        <v>642</v>
      </c>
      <c r="I939" s="26" t="n">
        <v>2</v>
      </c>
      <c r="J939" s="26" t="n">
        <f aca="false">COUNTIFS('Control Library'!$A$5:$A$50,"AI-CTRL-034",'Control Library'!$R$5:$R$50,"Implemented")+COUNTIFS('Control Library'!$A$5:$A$50,"AI-CTRL-038",'Control Library'!$R$5:$R$50,"Implemented")</f>
        <v>0</v>
      </c>
      <c r="K939" s="43" t="str">
        <f aca="false">IF(I939=0,"No wiki control",IF(J939=I939,"Fully covered",IF(J939=0,"Not covered","Partly covered")))</f>
        <v>Not covered</v>
      </c>
      <c r="L939" s="9" t="s">
        <v>2991</v>
      </c>
    </row>
    <row r="940" customFormat="false" ht="46.25" hidden="false" customHeight="false" outlineLevel="0" collapsed="false">
      <c r="A940" s="58" t="s">
        <v>624</v>
      </c>
      <c r="B940" s="58" t="s">
        <v>613</v>
      </c>
      <c r="C940" s="5" t="s">
        <v>3050</v>
      </c>
      <c r="D940" s="6" t="s">
        <v>3051</v>
      </c>
      <c r="E940" s="6" t="s">
        <v>1620</v>
      </c>
      <c r="F940" s="6" t="s">
        <v>730</v>
      </c>
      <c r="G940" s="6" t="s">
        <v>439</v>
      </c>
      <c r="H940" s="6" t="s">
        <v>642</v>
      </c>
      <c r="I940" s="26" t="n">
        <v>2</v>
      </c>
      <c r="J940" s="26" t="n">
        <f aca="false">COUNTIFS('Control Library'!$A$5:$A$50,"AI-CTRL-030",'Control Library'!$R$5:$R$50,"Implemented")+COUNTIFS('Control Library'!$A$5:$A$50,"AI-CTRL-033",'Control Library'!$R$5:$R$50,"Implemented")</f>
        <v>0</v>
      </c>
      <c r="K940" s="43" t="str">
        <f aca="false">IF(I940=0,"No wiki control",IF(J940=I940,"Fully covered",IF(J940=0,"Not covered","Partly covered")))</f>
        <v>Not covered</v>
      </c>
      <c r="L940" s="9" t="s">
        <v>2991</v>
      </c>
    </row>
    <row r="941" customFormat="false" ht="23.85" hidden="false" customHeight="false" outlineLevel="0" collapsed="false">
      <c r="A941" s="58" t="s">
        <v>624</v>
      </c>
      <c r="B941" s="58" t="s">
        <v>613</v>
      </c>
      <c r="C941" s="5" t="s">
        <v>3052</v>
      </c>
      <c r="D941" s="6" t="s">
        <v>3053</v>
      </c>
      <c r="E941" s="6" t="s">
        <v>3054</v>
      </c>
      <c r="F941" s="6" t="s">
        <v>730</v>
      </c>
      <c r="G941" s="6" t="s">
        <v>1995</v>
      </c>
      <c r="H941" s="6" t="s">
        <v>642</v>
      </c>
      <c r="I941" s="26" t="n">
        <v>2</v>
      </c>
      <c r="J941" s="26" t="n">
        <f aca="false">COUNTIFS('Control Library'!$A$5:$A$50,"AI-CTRL-011",'Control Library'!$R$5:$R$50,"Implemented")+COUNTIFS('Control Library'!$A$5:$A$50,"AI-CTRL-028",'Control Library'!$R$5:$R$50,"Implemented")</f>
        <v>0</v>
      </c>
      <c r="K941" s="43" t="str">
        <f aca="false">IF(I941=0,"No wiki control",IF(J941=I941,"Fully covered",IF(J941=0,"Not covered","Partly covered")))</f>
        <v>Not covered</v>
      </c>
      <c r="L941" s="9" t="s">
        <v>2991</v>
      </c>
    </row>
    <row r="942" customFormat="false" ht="35.05" hidden="false" customHeight="false" outlineLevel="0" collapsed="false">
      <c r="A942" s="58" t="s">
        <v>624</v>
      </c>
      <c r="B942" s="58" t="s">
        <v>613</v>
      </c>
      <c r="C942" s="5" t="s">
        <v>3055</v>
      </c>
      <c r="D942" s="6" t="s">
        <v>3056</v>
      </c>
      <c r="E942" s="6" t="s">
        <v>530</v>
      </c>
      <c r="F942" s="6" t="s">
        <v>730</v>
      </c>
      <c r="G942" s="6" t="s">
        <v>533</v>
      </c>
      <c r="H942" s="6" t="s">
        <v>642</v>
      </c>
      <c r="I942" s="26" t="n">
        <v>1</v>
      </c>
      <c r="J942" s="26" t="n">
        <f aca="false">COUNTIFS('Control Library'!$A$5:$A$50,"AI-CTRL-044",'Control Library'!$R$5:$R$50,"Implemented")</f>
        <v>0</v>
      </c>
      <c r="K942" s="43" t="str">
        <f aca="false">IF(I942=0,"No wiki control",IF(J942=I942,"Fully covered",IF(J942=0,"Not covered","Partly covered")))</f>
        <v>Not covered</v>
      </c>
      <c r="L942" s="9" t="s">
        <v>2991</v>
      </c>
    </row>
    <row r="943" customFormat="false" ht="23.85" hidden="false" customHeight="false" outlineLevel="0" collapsed="false">
      <c r="A943" s="58" t="s">
        <v>624</v>
      </c>
      <c r="B943" s="58" t="s">
        <v>613</v>
      </c>
      <c r="C943" s="5" t="s">
        <v>3057</v>
      </c>
      <c r="D943" s="6" t="s">
        <v>3058</v>
      </c>
      <c r="E943" s="6" t="s">
        <v>3059</v>
      </c>
      <c r="F943" s="6" t="s">
        <v>730</v>
      </c>
      <c r="G943" s="6" t="s">
        <v>3060</v>
      </c>
      <c r="H943" s="6" t="s">
        <v>642</v>
      </c>
      <c r="I943" s="26" t="n">
        <v>2</v>
      </c>
      <c r="J943" s="26" t="n">
        <f aca="false">COUNTIFS('Control Library'!$A$5:$A$50,"AI-CTRL-032",'Control Library'!$R$5:$R$50,"Implemented")+COUNTIFS('Control Library'!$A$5:$A$50,"AI-CTRL-040",'Control Library'!$R$5:$R$50,"Implemented")</f>
        <v>0</v>
      </c>
      <c r="K943" s="43" t="str">
        <f aca="false">IF(I943=0,"No wiki control",IF(J943=I943,"Fully covered",IF(J943=0,"Not covered","Partly covered")))</f>
        <v>Not covered</v>
      </c>
      <c r="L943" s="9" t="s">
        <v>2991</v>
      </c>
    </row>
    <row r="944" customFormat="false" ht="35.05" hidden="false" customHeight="false" outlineLevel="0" collapsed="false">
      <c r="A944" s="58" t="s">
        <v>624</v>
      </c>
      <c r="B944" s="58" t="s">
        <v>613</v>
      </c>
      <c r="C944" s="5" t="s">
        <v>3061</v>
      </c>
      <c r="D944" s="6" t="s">
        <v>3062</v>
      </c>
      <c r="E944" s="6" t="s">
        <v>3063</v>
      </c>
      <c r="F944" s="6" t="s">
        <v>730</v>
      </c>
      <c r="G944" s="6" t="s">
        <v>3064</v>
      </c>
      <c r="H944" s="6"/>
      <c r="I944" s="26" t="n">
        <v>3</v>
      </c>
      <c r="J944" s="26" t="n">
        <f aca="false">COUNTIFS('Control Library'!$A$5:$A$50,"AI-CTRL-012",'Control Library'!$R$5:$R$50,"Implemented")+COUNTIFS('Control Library'!$A$5:$A$50,"AI-CTRL-037",'Control Library'!$R$5:$R$50,"Implemented")+COUNTIFS('Control Library'!$A$5:$A$50,"AI-CTRL-039",'Control Library'!$R$5:$R$50,"Implemented")</f>
        <v>0</v>
      </c>
      <c r="K944" s="43" t="str">
        <f aca="false">IF(I944=0,"No wiki control",IF(J944=I944,"Fully covered",IF(J944=0,"Not covered","Partly covered")))</f>
        <v>Not covered</v>
      </c>
      <c r="L944" s="9" t="s">
        <v>2991</v>
      </c>
    </row>
    <row r="945" customFormat="false" ht="46.25" hidden="false" customHeight="false" outlineLevel="0" collapsed="false">
      <c r="A945" s="58" t="s">
        <v>624</v>
      </c>
      <c r="B945" s="58" t="s">
        <v>613</v>
      </c>
      <c r="C945" s="5" t="s">
        <v>3065</v>
      </c>
      <c r="D945" s="6" t="s">
        <v>3066</v>
      </c>
      <c r="E945" s="6" t="s">
        <v>3067</v>
      </c>
      <c r="F945" s="6" t="s">
        <v>730</v>
      </c>
      <c r="G945" s="6" t="s">
        <v>3068</v>
      </c>
      <c r="H945" s="6"/>
      <c r="I945" s="26" t="n">
        <v>4</v>
      </c>
      <c r="J945" s="26" t="n">
        <f aca="false">COUNTIFS('Control Library'!$A$5:$A$50,"AI-CTRL-005",'Control Library'!$R$5:$R$50,"Implemented")+COUNTIFS('Control Library'!$A$5:$A$50,"AI-CTRL-023",'Control Library'!$R$5:$R$50,"Implemented")+COUNTIFS('Control Library'!$A$5:$A$50,"AI-CTRL-025",'Control Library'!$R$5:$R$50,"Implemented")+COUNTIFS('Control Library'!$A$5:$A$50,"AI-CTRL-037",'Control Library'!$R$5:$R$50,"Implemented")</f>
        <v>0</v>
      </c>
      <c r="K945" s="43" t="str">
        <f aca="false">IF(I945=0,"No wiki control",IF(J945=I945,"Fully covered",IF(J945=0,"Not covered","Partly covered")))</f>
        <v>Not covered</v>
      </c>
      <c r="L945" s="9" t="s">
        <v>2991</v>
      </c>
    </row>
    <row r="946" customFormat="false" ht="23.85" hidden="false" customHeight="false" outlineLevel="0" collapsed="false">
      <c r="A946" s="58" t="s">
        <v>624</v>
      </c>
      <c r="B946" s="58" t="s">
        <v>613</v>
      </c>
      <c r="C946" s="5" t="s">
        <v>3069</v>
      </c>
      <c r="D946" s="6" t="s">
        <v>3070</v>
      </c>
      <c r="E946" s="6" t="s">
        <v>3071</v>
      </c>
      <c r="F946" s="6" t="s">
        <v>730</v>
      </c>
      <c r="G946" s="6" t="s">
        <v>3072</v>
      </c>
      <c r="H946" s="6"/>
      <c r="I946" s="26" t="n">
        <v>2</v>
      </c>
      <c r="J946" s="26" t="n">
        <f aca="false">COUNTIFS('Control Library'!$A$5:$A$50,"AI-CTRL-038",'Control Library'!$R$5:$R$50,"Implemented")+COUNTIFS('Control Library'!$A$5:$A$50,"AI-CTRL-039",'Control Library'!$R$5:$R$50,"Implemented")</f>
        <v>0</v>
      </c>
      <c r="K946" s="43" t="str">
        <f aca="false">IF(I946=0,"No wiki control",IF(J946=I946,"Fully covered",IF(J946=0,"Not covered","Partly covered")))</f>
        <v>Not covered</v>
      </c>
      <c r="L946" s="9" t="s">
        <v>2991</v>
      </c>
    </row>
    <row r="947" customFormat="false" ht="46.25" hidden="false" customHeight="false" outlineLevel="0" collapsed="false">
      <c r="A947" s="58" t="s">
        <v>624</v>
      </c>
      <c r="B947" s="58" t="s">
        <v>613</v>
      </c>
      <c r="C947" s="5" t="s">
        <v>3073</v>
      </c>
      <c r="D947" s="6" t="s">
        <v>3074</v>
      </c>
      <c r="E947" s="6" t="s">
        <v>1843</v>
      </c>
      <c r="F947" s="6" t="s">
        <v>730</v>
      </c>
      <c r="G947" s="6" t="s">
        <v>1844</v>
      </c>
      <c r="H947" s="6"/>
      <c r="I947" s="26" t="n">
        <v>3</v>
      </c>
      <c r="J947" s="26" t="n">
        <f aca="false">COUNTIFS('Control Library'!$A$5:$A$50,"AI-CTRL-007",'Control Library'!$R$5:$R$50,"Implemented")+COUNTIFS('Control Library'!$A$5:$A$50,"AI-CTRL-013",'Control Library'!$R$5:$R$50,"Implemented")+COUNTIFS('Control Library'!$A$5:$A$50,"AI-CTRL-017",'Control Library'!$R$5:$R$50,"Implemented")</f>
        <v>0</v>
      </c>
      <c r="K947" s="43" t="str">
        <f aca="false">IF(I947=0,"No wiki control",IF(J947=I947,"Fully covered",IF(J947=0,"Not covered","Partly covered")))</f>
        <v>Not covered</v>
      </c>
      <c r="L947" s="9" t="s">
        <v>2991</v>
      </c>
    </row>
    <row r="948" customFormat="false" ht="135.8" hidden="false" customHeight="false" outlineLevel="0" collapsed="false">
      <c r="A948" s="58" t="s">
        <v>624</v>
      </c>
      <c r="B948" s="58" t="s">
        <v>613</v>
      </c>
      <c r="C948" s="5" t="s">
        <v>3075</v>
      </c>
      <c r="D948" s="6" t="s">
        <v>3076</v>
      </c>
      <c r="E948" s="6" t="s">
        <v>3077</v>
      </c>
      <c r="F948" s="6" t="s">
        <v>730</v>
      </c>
      <c r="G948" s="6" t="s">
        <v>3078</v>
      </c>
      <c r="H948" s="6"/>
      <c r="I948" s="26" t="n">
        <v>30</v>
      </c>
      <c r="J948" s="26" t="n">
        <f aca="false">COUNTIFS('Control Library'!$A$5:$A$50,"AI-CTRL-001",'Control Library'!$R$5:$R$50,"Implemented")+COUNTIFS('Control Library'!$A$5:$A$50,"AI-CTRL-005",'Control Library'!$R$5:$R$50,"Implemented")+COUNTIFS('Control Library'!$A$5:$A$50,"AI-CTRL-006",'Control Library'!$R$5:$R$50,"Implemented")+COUNTIFS('Control Library'!$A$5:$A$50,"AI-CTRL-008",'Control Library'!$R$5:$R$50,"Implemented")+COUNTIFS('Control Library'!$A$5:$A$50,"AI-CTRL-009",'Control Library'!$R$5:$R$50,"Implemented")+COUNTIFS('Control Library'!$A$5:$A$50,"AI-CTRL-010",'Control Library'!$R$5:$R$50,"Implemented")+COUNTIFS('Control Library'!$A$5:$A$50,"AI-CTRL-011",'Control Library'!$R$5:$R$50,"Implemented")+COUNTIFS('Control Library'!$A$5:$A$50,"AI-CTRL-012",'Control Library'!$R$5:$R$50,"Implemented")+COUNTIFS('Control Library'!$A$5:$A$50,"AI-CTRL-013",'Control Library'!$R$5:$R$50,"Implemented")+COUNTIFS('Control Library'!$A$5:$A$50,"AI-CTRL-014",'Control Library'!$R$5:$R$50,"Implemented")+COUNTIFS('Control Library'!$A$5:$A$50,"AI-CTRL-016",'Control Library'!$R$5:$R$50,"Implemented")+COUNTIFS('Control Library'!$A$5:$A$50,"AI-CTRL-017",'Control Library'!$R$5:$R$50,"Implemented")+COUNTIFS('Control Library'!$A$5:$A$50,"AI-CTRL-023",'Control Library'!$R$5:$R$50,"Implemented")+COUNTIFS('Control Library'!$A$5:$A$50,"AI-CTRL-024",'Control Library'!$R$5:$R$50,"Implemented")+COUNTIFS('Control Library'!$A$5:$A$50,"AI-CTRL-025",'Control Library'!$R$5:$R$50,"Implemented")+COUNTIFS('Control Library'!$A$5:$A$50,"AI-CTRL-028",'Control Library'!$R$5:$R$50,"Implemented")+COUNTIFS('Control Library'!$A$5:$A$50,"AI-CTRL-029",'Control Library'!$R$5:$R$50,"Implemented")+COUNTIFS('Control Library'!$A$5:$A$50,"AI-CTRL-030",'Control Library'!$R$5:$R$50,"Implemented")+COUNTIFS('Control Library'!$A$5:$A$50,"AI-CTRL-031",'Control Library'!$R$5:$R$50,"Implemented")+COUNTIFS('Control Library'!$A$5:$A$50,"AI-CTRL-032",'Control Library'!$R$5:$R$50,"Implemented")+COUNTIFS('Control Library'!$A$5:$A$50,"AI-CTRL-033",'Control Library'!$R$5:$R$50,"Implemented")+COUNTIFS('Control Library'!$A$5:$A$50,"AI-CTRL-034",'Control Library'!$R$5:$R$50,"Implemented")+COUNTIFS('Control Library'!$A$5:$A$50,"AI-CTRL-035",'Control Library'!$R$5:$R$50,"Implemented")+COUNTIFS('Control Library'!$A$5:$A$50,"AI-CTRL-037",'Control Library'!$R$5:$R$50,"Implemented")+COUNTIFS('Control Library'!$A$5:$A$50,"AI-CTRL-038",'Control Library'!$R$5:$R$50,"Implemented")+COUNTIFS('Control Library'!$A$5:$A$50,"AI-CTRL-039",'Control Library'!$R$5:$R$50,"Implemented")+COUNTIFS('Control Library'!$A$5:$A$50,"AI-CTRL-040",'Control Library'!$R$5:$R$50,"Implemented")+COUNTIFS('Control Library'!$A$5:$A$50,"AI-CTRL-041",'Control Library'!$R$5:$R$50,"Implemented")+COUNTIFS('Control Library'!$A$5:$A$50,"AI-CTRL-044",'Control Library'!$R$5:$R$50,"Implemented")+COUNTIFS('Control Library'!$A$5:$A$50,"AI-CTRL-045",'Control Library'!$R$5:$R$50,"Implemented")</f>
        <v>0</v>
      </c>
      <c r="K948" s="43" t="str">
        <f aca="false">IF(I948=0,"No wiki control",IF(J948=I948,"Fully covered",IF(J948=0,"Not covered","Partly covered")))</f>
        <v>Not covered</v>
      </c>
      <c r="L948" s="9" t="s">
        <v>2991</v>
      </c>
    </row>
    <row r="949" customFormat="false" ht="23.85" hidden="false" customHeight="false" outlineLevel="0" collapsed="false">
      <c r="A949" s="58" t="s">
        <v>624</v>
      </c>
      <c r="B949" s="58" t="s">
        <v>613</v>
      </c>
      <c r="C949" s="5" t="s">
        <v>3079</v>
      </c>
      <c r="D949" s="6" t="s">
        <v>3080</v>
      </c>
      <c r="E949" s="6" t="s">
        <v>504</v>
      </c>
      <c r="F949" s="6" t="s">
        <v>730</v>
      </c>
      <c r="G949" s="6" t="s">
        <v>507</v>
      </c>
      <c r="H949" s="6"/>
      <c r="I949" s="26" t="n">
        <v>1</v>
      </c>
      <c r="J949" s="26" t="n">
        <f aca="false">COUNTIFS('Control Library'!$A$5:$A$50,"AI-CTRL-041",'Control Library'!$R$5:$R$50,"Implemented")</f>
        <v>0</v>
      </c>
      <c r="K949" s="43" t="str">
        <f aca="false">IF(I949=0,"No wiki control",IF(J949=I949,"Fully covered",IF(J949=0,"Not covered","Partly covered")))</f>
        <v>Not covered</v>
      </c>
      <c r="L949" s="9" t="s">
        <v>2991</v>
      </c>
    </row>
    <row r="950" customFormat="false" ht="46.25" hidden="false" customHeight="false" outlineLevel="0" collapsed="false">
      <c r="A950" s="58" t="s">
        <v>624</v>
      </c>
      <c r="B950" s="58" t="s">
        <v>613</v>
      </c>
      <c r="C950" s="5" t="s">
        <v>3081</v>
      </c>
      <c r="D950" s="6" t="s">
        <v>3082</v>
      </c>
      <c r="E950" s="6" t="s">
        <v>3083</v>
      </c>
      <c r="F950" s="6" t="s">
        <v>730</v>
      </c>
      <c r="G950" s="6" t="s">
        <v>3084</v>
      </c>
      <c r="H950" s="6"/>
      <c r="I950" s="26" t="n">
        <v>3</v>
      </c>
      <c r="J950" s="26" t="n">
        <f aca="false">COUNTIFS('Control Library'!$A$5:$A$50,"AI-CTRL-005",'Control Library'!$R$5:$R$50,"Implemented")+COUNTIFS('Control Library'!$A$5:$A$50,"AI-CTRL-008",'Control Library'!$R$5:$R$50,"Implemented")+COUNTIFS('Control Library'!$A$5:$A$50,"AI-CTRL-025",'Control Library'!$R$5:$R$50,"Implemented")</f>
        <v>0</v>
      </c>
      <c r="K950" s="43" t="str">
        <f aca="false">IF(I950=0,"No wiki control",IF(J950=I950,"Fully covered",IF(J950=0,"Not covered","Partly covered")))</f>
        <v>Not covered</v>
      </c>
      <c r="L950" s="9" t="s">
        <v>2991</v>
      </c>
    </row>
    <row r="951" customFormat="false" ht="23.85" hidden="false" customHeight="false" outlineLevel="0" collapsed="false">
      <c r="A951" s="58" t="s">
        <v>624</v>
      </c>
      <c r="B951" s="58" t="s">
        <v>613</v>
      </c>
      <c r="C951" s="5" t="s">
        <v>3085</v>
      </c>
      <c r="D951" s="6" t="s">
        <v>3086</v>
      </c>
      <c r="E951" s="6" t="s">
        <v>2719</v>
      </c>
      <c r="F951" s="6" t="s">
        <v>730</v>
      </c>
      <c r="G951" s="6" t="s">
        <v>2720</v>
      </c>
      <c r="H951" s="6"/>
      <c r="I951" s="26" t="n">
        <v>2</v>
      </c>
      <c r="J951" s="26" t="n">
        <f aca="false">COUNTIFS('Control Library'!$A$5:$A$50,"AI-CTRL-005",'Control Library'!$R$5:$R$50,"Implemented")+COUNTIFS('Control Library'!$A$5:$A$50,"AI-CTRL-035",'Control Library'!$R$5:$R$50,"Implemented")</f>
        <v>0</v>
      </c>
      <c r="K951" s="43" t="str">
        <f aca="false">IF(I951=0,"No wiki control",IF(J951=I951,"Fully covered",IF(J951=0,"Not covered","Partly covered")))</f>
        <v>Not covered</v>
      </c>
      <c r="L951" s="9" t="s">
        <v>2991</v>
      </c>
    </row>
    <row r="952" customFormat="false" ht="23.85" hidden="false" customHeight="false" outlineLevel="0" collapsed="false">
      <c r="A952" s="58" t="s">
        <v>625</v>
      </c>
      <c r="B952" s="58" t="s">
        <v>613</v>
      </c>
      <c r="C952" s="5" t="s">
        <v>3087</v>
      </c>
      <c r="D952" s="6" t="s">
        <v>3088</v>
      </c>
      <c r="E952" s="6"/>
      <c r="F952" s="6" t="s">
        <v>640</v>
      </c>
      <c r="G952" s="6"/>
      <c r="H952" s="6"/>
      <c r="I952" s="26" t="n">
        <v>0</v>
      </c>
      <c r="J952" s="26" t="n">
        <f aca="false">0</f>
        <v>0</v>
      </c>
      <c r="K952" s="43" t="str">
        <f aca="false">IF(I952=0,"No wiki control",IF(J952=I952,"Fully covered",IF(J952=0,"Not covered","Partly covered")))</f>
        <v>No wiki control</v>
      </c>
      <c r="L952" s="9" t="s">
        <v>3089</v>
      </c>
    </row>
    <row r="953" customFormat="false" ht="23.85" hidden="false" customHeight="false" outlineLevel="0" collapsed="false">
      <c r="A953" s="58" t="s">
        <v>625</v>
      </c>
      <c r="B953" s="58" t="s">
        <v>613</v>
      </c>
      <c r="C953" s="5" t="s">
        <v>3090</v>
      </c>
      <c r="D953" s="6" t="s">
        <v>3091</v>
      </c>
      <c r="E953" s="6" t="s">
        <v>486</v>
      </c>
      <c r="F953" s="6" t="s">
        <v>730</v>
      </c>
      <c r="G953" s="6" t="s">
        <v>490</v>
      </c>
      <c r="H953" s="6"/>
      <c r="I953" s="26" t="n">
        <v>1</v>
      </c>
      <c r="J953" s="26" t="n">
        <f aca="false">COUNTIFS('Control Library'!$A$5:$A$50,"AI-CTRL-039",'Control Library'!$R$5:$R$50,"Implemented")</f>
        <v>0</v>
      </c>
      <c r="K953" s="43" t="str">
        <f aca="false">IF(I953=0,"No wiki control",IF(J953=I953,"Fully covered",IF(J953=0,"Not covered","Partly covered")))</f>
        <v>Not covered</v>
      </c>
      <c r="L953" s="9" t="s">
        <v>3089</v>
      </c>
    </row>
    <row r="954" customFormat="false" ht="35.05" hidden="false" customHeight="false" outlineLevel="0" collapsed="false">
      <c r="A954" s="58" t="s">
        <v>625</v>
      </c>
      <c r="B954" s="58" t="s">
        <v>613</v>
      </c>
      <c r="C954" s="5" t="s">
        <v>3092</v>
      </c>
      <c r="D954" s="6" t="s">
        <v>3093</v>
      </c>
      <c r="E954" s="6" t="s">
        <v>3094</v>
      </c>
      <c r="F954" s="6" t="s">
        <v>730</v>
      </c>
      <c r="G954" s="6" t="s">
        <v>3095</v>
      </c>
      <c r="H954" s="6"/>
      <c r="I954" s="26" t="n">
        <v>3</v>
      </c>
      <c r="J954" s="26" t="n">
        <f aca="false">COUNTIFS('Control Library'!$A$5:$A$50,"AI-CTRL-023",'Control Library'!$R$5:$R$50,"Implemented")+COUNTIFS('Control Library'!$A$5:$A$50,"AI-CTRL-037",'Control Library'!$R$5:$R$50,"Implemented")+COUNTIFS('Control Library'!$A$5:$A$50,"AI-CTRL-041",'Control Library'!$R$5:$R$50,"Implemented")</f>
        <v>0</v>
      </c>
      <c r="K954" s="43" t="str">
        <f aca="false">IF(I954=0,"No wiki control",IF(J954=I954,"Fully covered",IF(J954=0,"Not covered","Partly covered")))</f>
        <v>Not covered</v>
      </c>
      <c r="L954" s="9" t="s">
        <v>3089</v>
      </c>
    </row>
    <row r="955" customFormat="false" ht="23.85" hidden="false" customHeight="false" outlineLevel="0" collapsed="false">
      <c r="A955" s="58" t="s">
        <v>625</v>
      </c>
      <c r="B955" s="58" t="s">
        <v>613</v>
      </c>
      <c r="C955" s="5" t="s">
        <v>3096</v>
      </c>
      <c r="D955" s="6" t="s">
        <v>3097</v>
      </c>
      <c r="E955" s="6" t="s">
        <v>3098</v>
      </c>
      <c r="F955" s="6" t="s">
        <v>730</v>
      </c>
      <c r="G955" s="6" t="s">
        <v>3099</v>
      </c>
      <c r="H955" s="6"/>
      <c r="I955" s="26" t="n">
        <v>2</v>
      </c>
      <c r="J955" s="26" t="n">
        <f aca="false">COUNTIFS('Control Library'!$A$5:$A$50,"AI-CTRL-005",'Control Library'!$R$5:$R$50,"Implemented")+COUNTIFS('Control Library'!$A$5:$A$50,"AI-CTRL-037",'Control Library'!$R$5:$R$50,"Implemented")</f>
        <v>0</v>
      </c>
      <c r="K955" s="43" t="str">
        <f aca="false">IF(I955=0,"No wiki control",IF(J955=I955,"Fully covered",IF(J955=0,"Not covered","Partly covered")))</f>
        <v>Not covered</v>
      </c>
      <c r="L955" s="9" t="s">
        <v>3089</v>
      </c>
    </row>
    <row r="956" customFormat="false" ht="23.85" hidden="false" customHeight="false" outlineLevel="0" collapsed="false">
      <c r="A956" s="58" t="s">
        <v>625</v>
      </c>
      <c r="B956" s="58" t="s">
        <v>613</v>
      </c>
      <c r="C956" s="5" t="s">
        <v>3100</v>
      </c>
      <c r="D956" s="6" t="s">
        <v>3101</v>
      </c>
      <c r="E956" s="6" t="s">
        <v>263</v>
      </c>
      <c r="F956" s="6" t="s">
        <v>730</v>
      </c>
      <c r="G956" s="6" t="s">
        <v>266</v>
      </c>
      <c r="H956" s="6"/>
      <c r="I956" s="26" t="n">
        <v>1</v>
      </c>
      <c r="J956" s="26" t="n">
        <f aca="false">COUNTIFS('Control Library'!$A$5:$A$50,"AI-CTRL-012",'Control Library'!$R$5:$R$50,"Implemented")</f>
        <v>0</v>
      </c>
      <c r="K956" s="43" t="str">
        <f aca="false">IF(I956=0,"No wiki control",IF(J956=I956,"Fully covered",IF(J956=0,"Not covered","Partly covered")))</f>
        <v>Not covered</v>
      </c>
      <c r="L956" s="9" t="s">
        <v>3089</v>
      </c>
    </row>
    <row r="957" customFormat="false" ht="23.85" hidden="false" customHeight="false" outlineLevel="0" collapsed="false">
      <c r="A957" s="58" t="s">
        <v>625</v>
      </c>
      <c r="B957" s="58" t="s">
        <v>613</v>
      </c>
      <c r="C957" s="5" t="s">
        <v>3102</v>
      </c>
      <c r="D957" s="6" t="s">
        <v>3103</v>
      </c>
      <c r="E957" s="6" t="s">
        <v>263</v>
      </c>
      <c r="F957" s="6" t="s">
        <v>730</v>
      </c>
      <c r="G957" s="6" t="s">
        <v>266</v>
      </c>
      <c r="H957" s="6"/>
      <c r="I957" s="26" t="n">
        <v>1</v>
      </c>
      <c r="J957" s="26" t="n">
        <f aca="false">COUNTIFS('Control Library'!$A$5:$A$50,"AI-CTRL-012",'Control Library'!$R$5:$R$50,"Implemented")</f>
        <v>0</v>
      </c>
      <c r="K957" s="43" t="str">
        <f aca="false">IF(I957=0,"No wiki control",IF(J957=I957,"Fully covered",IF(J957=0,"Not covered","Partly covered")))</f>
        <v>Not covered</v>
      </c>
      <c r="L957" s="9" t="s">
        <v>3089</v>
      </c>
    </row>
    <row r="958" customFormat="false" ht="23.85" hidden="false" customHeight="false" outlineLevel="0" collapsed="false">
      <c r="A958" s="58" t="s">
        <v>625</v>
      </c>
      <c r="B958" s="58" t="s">
        <v>613</v>
      </c>
      <c r="C958" s="5" t="s">
        <v>3104</v>
      </c>
      <c r="D958" s="6" t="s">
        <v>3105</v>
      </c>
      <c r="E958" s="6" t="s">
        <v>2887</v>
      </c>
      <c r="F958" s="6" t="s">
        <v>730</v>
      </c>
      <c r="G958" s="6" t="s">
        <v>2852</v>
      </c>
      <c r="H958" s="6"/>
      <c r="I958" s="26" t="n">
        <v>3</v>
      </c>
      <c r="J958" s="26" t="n">
        <f aca="false">COUNTIFS('Control Library'!$A$5:$A$50,"AI-CTRL-007",'Control Library'!$R$5:$R$50,"Implemented")+COUNTIFS('Control Library'!$A$5:$A$50,"AI-CTRL-013",'Control Library'!$R$5:$R$50,"Implemented")+COUNTIFS('Control Library'!$A$5:$A$50,"AI-CTRL-035",'Control Library'!$R$5:$R$50,"Implemented")</f>
        <v>0</v>
      </c>
      <c r="K958" s="43" t="str">
        <f aca="false">IF(I958=0,"No wiki control",IF(J958=I958,"Fully covered",IF(J958=0,"Not covered","Partly covered")))</f>
        <v>Not covered</v>
      </c>
      <c r="L958" s="9" t="s">
        <v>3089</v>
      </c>
    </row>
    <row r="959" customFormat="false" ht="23.85" hidden="false" customHeight="false" outlineLevel="0" collapsed="false">
      <c r="A959" s="58" t="s">
        <v>625</v>
      </c>
      <c r="B959" s="58" t="s">
        <v>613</v>
      </c>
      <c r="C959" s="5" t="s">
        <v>3106</v>
      </c>
      <c r="D959" s="6" t="s">
        <v>3107</v>
      </c>
      <c r="E959" s="6"/>
      <c r="F959" s="6" t="s">
        <v>640</v>
      </c>
      <c r="G959" s="6"/>
      <c r="H959" s="6"/>
      <c r="I959" s="26" t="n">
        <v>0</v>
      </c>
      <c r="J959" s="26" t="n">
        <f aca="false">0</f>
        <v>0</v>
      </c>
      <c r="K959" s="43" t="str">
        <f aca="false">IF(I959=0,"No wiki control",IF(J959=I959,"Fully covered",IF(J959=0,"Not covered","Partly covered")))</f>
        <v>No wiki control</v>
      </c>
      <c r="L959" s="9" t="s">
        <v>3089</v>
      </c>
    </row>
    <row r="960" customFormat="false" ht="46.25" hidden="false" customHeight="false" outlineLevel="0" collapsed="false">
      <c r="A960" s="58" t="s">
        <v>626</v>
      </c>
      <c r="B960" s="58" t="s">
        <v>613</v>
      </c>
      <c r="C960" s="5" t="s">
        <v>3108</v>
      </c>
      <c r="D960" s="6" t="s">
        <v>3109</v>
      </c>
      <c r="E960" s="6" t="s">
        <v>3110</v>
      </c>
      <c r="F960" s="6" t="s">
        <v>730</v>
      </c>
      <c r="G960" s="6" t="s">
        <v>3111</v>
      </c>
      <c r="H960" s="6" t="s">
        <v>642</v>
      </c>
      <c r="I960" s="26" t="n">
        <v>3</v>
      </c>
      <c r="J960" s="26" t="n">
        <f aca="false">COUNTIFS('Control Library'!$A$5:$A$50,"AI-CTRL-020",'Control Library'!$R$5:$R$50,"Implemented")+COUNTIFS('Control Library'!$A$5:$A$50,"AI-CTRL-023",'Control Library'!$R$5:$R$50,"Implemented")+COUNTIFS('Control Library'!$A$5:$A$50,"AI-CTRL-039",'Control Library'!$R$5:$R$50,"Implemented")</f>
        <v>0</v>
      </c>
      <c r="K960" s="43" t="str">
        <f aca="false">IF(I960=0,"No wiki control",IF(J960=I960,"Fully covered",IF(J960=0,"Not covered","Partly covered")))</f>
        <v>Not covered</v>
      </c>
      <c r="L960" s="9" t="s">
        <v>3112</v>
      </c>
    </row>
    <row r="961" customFormat="false" ht="57.45" hidden="false" customHeight="false" outlineLevel="0" collapsed="false">
      <c r="A961" s="58" t="s">
        <v>626</v>
      </c>
      <c r="B961" s="58" t="s">
        <v>613</v>
      </c>
      <c r="C961" s="5" t="s">
        <v>3113</v>
      </c>
      <c r="D961" s="6" t="s">
        <v>3114</v>
      </c>
      <c r="E961" s="6" t="s">
        <v>2566</v>
      </c>
      <c r="F961" s="6" t="s">
        <v>730</v>
      </c>
      <c r="G961" s="6" t="s">
        <v>2567</v>
      </c>
      <c r="H961" s="6" t="s">
        <v>657</v>
      </c>
      <c r="I961" s="26" t="n">
        <v>2</v>
      </c>
      <c r="J961" s="26" t="n">
        <f aca="false">COUNTIFS('Control Library'!$A$5:$A$50,"AI-CTRL-012",'Control Library'!$R$5:$R$50,"Implemented")+COUNTIFS('Control Library'!$A$5:$A$50,"AI-CTRL-037",'Control Library'!$R$5:$R$50,"Implemented")</f>
        <v>0</v>
      </c>
      <c r="K961" s="43" t="str">
        <f aca="false">IF(I961=0,"No wiki control",IF(J961=I961,"Fully covered",IF(J961=0,"Not covered","Partly covered")))</f>
        <v>Not covered</v>
      </c>
      <c r="L961" s="9" t="s">
        <v>3112</v>
      </c>
    </row>
    <row r="962" customFormat="false" ht="68.65" hidden="false" customHeight="false" outlineLevel="0" collapsed="false">
      <c r="A962" s="58" t="s">
        <v>626</v>
      </c>
      <c r="B962" s="58" t="s">
        <v>613</v>
      </c>
      <c r="C962" s="5" t="s">
        <v>3115</v>
      </c>
      <c r="D962" s="6" t="s">
        <v>3116</v>
      </c>
      <c r="E962" s="6" t="s">
        <v>2764</v>
      </c>
      <c r="F962" s="6" t="s">
        <v>730</v>
      </c>
      <c r="G962" s="6" t="s">
        <v>1097</v>
      </c>
      <c r="H962" s="6" t="s">
        <v>642</v>
      </c>
      <c r="I962" s="26" t="n">
        <v>2</v>
      </c>
      <c r="J962" s="26" t="n">
        <f aca="false">COUNTIFS('Control Library'!$A$5:$A$50,"AI-CTRL-013",'Control Library'!$R$5:$R$50,"Implemented")+COUNTIFS('Control Library'!$A$5:$A$50,"AI-CTRL-041",'Control Library'!$R$5:$R$50,"Implemented")</f>
        <v>0</v>
      </c>
      <c r="K962" s="43" t="str">
        <f aca="false">IF(I962=0,"No wiki control",IF(J962=I962,"Fully covered",IF(J962=0,"Not covered","Partly covered")))</f>
        <v>Not covered</v>
      </c>
      <c r="L962" s="9" t="s">
        <v>3112</v>
      </c>
    </row>
    <row r="963" customFormat="false" ht="46.25" hidden="false" customHeight="false" outlineLevel="0" collapsed="false">
      <c r="A963" s="58" t="s">
        <v>626</v>
      </c>
      <c r="B963" s="58" t="s">
        <v>613</v>
      </c>
      <c r="C963" s="5" t="s">
        <v>3117</v>
      </c>
      <c r="D963" s="6" t="s">
        <v>3118</v>
      </c>
      <c r="E963" s="6" t="s">
        <v>504</v>
      </c>
      <c r="F963" s="6" t="s">
        <v>730</v>
      </c>
      <c r="G963" s="6" t="s">
        <v>507</v>
      </c>
      <c r="H963" s="6" t="s">
        <v>642</v>
      </c>
      <c r="I963" s="26" t="n">
        <v>1</v>
      </c>
      <c r="J963" s="26" t="n">
        <f aca="false">COUNTIFS('Control Library'!$A$5:$A$50,"AI-CTRL-041",'Control Library'!$R$5:$R$50,"Implemented")</f>
        <v>0</v>
      </c>
      <c r="K963" s="43" t="str">
        <f aca="false">IF(I963=0,"No wiki control",IF(J963=I963,"Fully covered",IF(J963=0,"Not covered","Partly covered")))</f>
        <v>Not covered</v>
      </c>
      <c r="L963" s="9" t="s">
        <v>3112</v>
      </c>
    </row>
    <row r="964" customFormat="false" ht="57.45" hidden="false" customHeight="false" outlineLevel="0" collapsed="false">
      <c r="A964" s="58" t="s">
        <v>626</v>
      </c>
      <c r="B964" s="58" t="s">
        <v>613</v>
      </c>
      <c r="C964" s="5" t="s">
        <v>3119</v>
      </c>
      <c r="D964" s="6" t="s">
        <v>3120</v>
      </c>
      <c r="E964" s="6" t="s">
        <v>3121</v>
      </c>
      <c r="F964" s="6" t="s">
        <v>730</v>
      </c>
      <c r="G964" s="6" t="s">
        <v>3122</v>
      </c>
      <c r="H964" s="6"/>
      <c r="I964" s="26" t="n">
        <v>7</v>
      </c>
      <c r="J964" s="26" t="n">
        <f aca="false">COUNTIFS('Control Library'!$A$5:$A$50,"AI-CTRL-011",'Control Library'!$R$5:$R$50,"Implemented")+COUNTIFS('Control Library'!$A$5:$A$50,"AI-CTRL-012",'Control Library'!$R$5:$R$50,"Implemented")+COUNTIFS('Control Library'!$A$5:$A$50,"AI-CTRL-014",'Control Library'!$R$5:$R$50,"Implemented")+COUNTIFS('Control Library'!$A$5:$A$50,"AI-CTRL-025",'Control Library'!$R$5:$R$50,"Implemented")+COUNTIFS('Control Library'!$A$5:$A$50,"AI-CTRL-037",'Control Library'!$R$5:$R$50,"Implemented")+COUNTIFS('Control Library'!$A$5:$A$50,"AI-CTRL-041",'Control Library'!$R$5:$R$50,"Implemented")+COUNTIFS('Control Library'!$A$5:$A$50,"AI-CTRL-045",'Control Library'!$R$5:$R$50,"Implemented")</f>
        <v>0</v>
      </c>
      <c r="K964" s="43" t="str">
        <f aca="false">IF(I964=0,"No wiki control",IF(J964=I964,"Fully covered",IF(J964=0,"Not covered","Partly covered")))</f>
        <v>Not covered</v>
      </c>
      <c r="L964" s="9" t="s">
        <v>3112</v>
      </c>
    </row>
    <row r="965" customFormat="false" ht="23.85" hidden="false" customHeight="false" outlineLevel="0" collapsed="false">
      <c r="A965" s="58" t="s">
        <v>626</v>
      </c>
      <c r="B965" s="58" t="s">
        <v>613</v>
      </c>
      <c r="C965" s="5" t="s">
        <v>3123</v>
      </c>
      <c r="D965" s="6" t="s">
        <v>3124</v>
      </c>
      <c r="E965" s="6" t="s">
        <v>263</v>
      </c>
      <c r="F965" s="6" t="s">
        <v>730</v>
      </c>
      <c r="G965" s="6" t="s">
        <v>266</v>
      </c>
      <c r="H965" s="6"/>
      <c r="I965" s="26" t="n">
        <v>1</v>
      </c>
      <c r="J965" s="26" t="n">
        <f aca="false">COUNTIFS('Control Library'!$A$5:$A$50,"AI-CTRL-012",'Control Library'!$R$5:$R$50,"Implemented")</f>
        <v>0</v>
      </c>
      <c r="K965" s="43" t="str">
        <f aca="false">IF(I965=0,"No wiki control",IF(J965=I965,"Fully covered",IF(J965=0,"Not covered","Partly covered")))</f>
        <v>Not covered</v>
      </c>
      <c r="L965" s="9" t="s">
        <v>3112</v>
      </c>
    </row>
    <row r="966" customFormat="false" ht="35.05" hidden="false" customHeight="false" outlineLevel="0" collapsed="false">
      <c r="A966" s="58" t="s">
        <v>626</v>
      </c>
      <c r="B966" s="58" t="s">
        <v>613</v>
      </c>
      <c r="C966" s="5" t="s">
        <v>3125</v>
      </c>
      <c r="D966" s="6" t="s">
        <v>3126</v>
      </c>
      <c r="E966" s="6" t="s">
        <v>3127</v>
      </c>
      <c r="F966" s="6" t="s">
        <v>730</v>
      </c>
      <c r="G966" s="6" t="s">
        <v>3128</v>
      </c>
      <c r="H966" s="6"/>
      <c r="I966" s="26" t="n">
        <v>2</v>
      </c>
      <c r="J966" s="26" t="n">
        <f aca="false">COUNTIFS('Control Library'!$A$5:$A$50,"AI-CTRL-041",'Control Library'!$R$5:$R$50,"Implemented")+COUNTIFS('Control Library'!$A$5:$A$50,"AI-CTRL-045",'Control Library'!$R$5:$R$50,"Implemented")</f>
        <v>0</v>
      </c>
      <c r="K966" s="43" t="str">
        <f aca="false">IF(I966=0,"No wiki control",IF(J966=I966,"Fully covered",IF(J966=0,"Not covered","Partly covered")))</f>
        <v>Not covered</v>
      </c>
      <c r="L966" s="9" t="s">
        <v>3112</v>
      </c>
    </row>
    <row r="967" customFormat="false" ht="23.85" hidden="false" customHeight="false" outlineLevel="0" collapsed="false">
      <c r="A967" s="58" t="s">
        <v>626</v>
      </c>
      <c r="B967" s="58" t="s">
        <v>613</v>
      </c>
      <c r="C967" s="5" t="s">
        <v>3129</v>
      </c>
      <c r="D967" s="6" t="s">
        <v>3130</v>
      </c>
      <c r="E967" s="6" t="s">
        <v>504</v>
      </c>
      <c r="F967" s="6" t="s">
        <v>730</v>
      </c>
      <c r="G967" s="6" t="s">
        <v>507</v>
      </c>
      <c r="H967" s="6"/>
      <c r="I967" s="26" t="n">
        <v>1</v>
      </c>
      <c r="J967" s="26" t="n">
        <f aca="false">COUNTIFS('Control Library'!$A$5:$A$50,"AI-CTRL-041",'Control Library'!$R$5:$R$50,"Implemented")</f>
        <v>0</v>
      </c>
      <c r="K967" s="43" t="str">
        <f aca="false">IF(I967=0,"No wiki control",IF(J967=I967,"Fully covered",IF(J967=0,"Not covered","Partly covered")))</f>
        <v>Not covered</v>
      </c>
      <c r="L967" s="9" t="s">
        <v>3112</v>
      </c>
    </row>
    <row r="968" customFormat="false" ht="57.45" hidden="false" customHeight="false" outlineLevel="0" collapsed="false">
      <c r="A968" s="58" t="s">
        <v>626</v>
      </c>
      <c r="B968" s="58" t="s">
        <v>613</v>
      </c>
      <c r="C968" s="5" t="s">
        <v>3131</v>
      </c>
      <c r="D968" s="6" t="s">
        <v>3132</v>
      </c>
      <c r="E968" s="6" t="s">
        <v>3133</v>
      </c>
      <c r="F968" s="6" t="s">
        <v>730</v>
      </c>
      <c r="G968" s="6" t="s">
        <v>3134</v>
      </c>
      <c r="H968" s="6"/>
      <c r="I968" s="26" t="n">
        <v>5</v>
      </c>
      <c r="J968" s="26" t="n">
        <f aca="false">COUNTIFS('Control Library'!$A$5:$A$50,"AI-CTRL-005",'Control Library'!$R$5:$R$50,"Implemented")+COUNTIFS('Control Library'!$A$5:$A$50,"AI-CTRL-011",'Control Library'!$R$5:$R$50,"Implemented")+COUNTIFS('Control Library'!$A$5:$A$50,"AI-CTRL-012",'Control Library'!$R$5:$R$50,"Implemented")+COUNTIFS('Control Library'!$A$5:$A$50,"AI-CTRL-014",'Control Library'!$R$5:$R$50,"Implemented")+COUNTIFS('Control Library'!$A$5:$A$50,"AI-CTRL-034",'Control Library'!$R$5:$R$50,"Implemented")</f>
        <v>0</v>
      </c>
      <c r="K968" s="43" t="str">
        <f aca="false">IF(I968=0,"No wiki control",IF(J968=I968,"Fully covered",IF(J968=0,"Not covered","Partly covered")))</f>
        <v>Not covered</v>
      </c>
      <c r="L968" s="9" t="s">
        <v>3112</v>
      </c>
    </row>
    <row r="969" customFormat="false" ht="35.05" hidden="false" customHeight="false" outlineLevel="0" collapsed="false">
      <c r="A969" s="58" t="s">
        <v>626</v>
      </c>
      <c r="B969" s="58" t="s">
        <v>613</v>
      </c>
      <c r="C969" s="5" t="s">
        <v>3135</v>
      </c>
      <c r="D969" s="6" t="s">
        <v>3136</v>
      </c>
      <c r="E969" s="6" t="s">
        <v>3137</v>
      </c>
      <c r="F969" s="6" t="s">
        <v>730</v>
      </c>
      <c r="G969" s="6" t="s">
        <v>3138</v>
      </c>
      <c r="H969" s="6"/>
      <c r="I969" s="26" t="n">
        <v>3</v>
      </c>
      <c r="J969" s="26" t="n">
        <f aca="false">COUNTIFS('Control Library'!$A$5:$A$50,"AI-CTRL-012",'Control Library'!$R$5:$R$50,"Implemented")+COUNTIFS('Control Library'!$A$5:$A$50,"AI-CTRL-013",'Control Library'!$R$5:$R$50,"Implemented")+COUNTIFS('Control Library'!$A$5:$A$50,"AI-CTRL-045",'Control Library'!$R$5:$R$50,"Implemented")</f>
        <v>0</v>
      </c>
      <c r="K969" s="43" t="str">
        <f aca="false">IF(I969=0,"No wiki control",IF(J969=I969,"Fully covered",IF(J969=0,"Not covered","Partly covered")))</f>
        <v>Not covered</v>
      </c>
      <c r="L969" s="9" t="s">
        <v>3112</v>
      </c>
    </row>
    <row r="970" customFormat="false" ht="23.85" hidden="false" customHeight="false" outlineLevel="0" collapsed="false">
      <c r="A970" s="58" t="s">
        <v>626</v>
      </c>
      <c r="B970" s="58" t="s">
        <v>613</v>
      </c>
      <c r="C970" s="5" t="s">
        <v>3139</v>
      </c>
      <c r="D970" s="6" t="s">
        <v>3140</v>
      </c>
      <c r="E970" s="6" t="s">
        <v>1968</v>
      </c>
      <c r="F970" s="6" t="s">
        <v>730</v>
      </c>
      <c r="G970" s="6" t="s">
        <v>1844</v>
      </c>
      <c r="H970" s="6"/>
      <c r="I970" s="26" t="n">
        <v>2</v>
      </c>
      <c r="J970" s="26" t="n">
        <f aca="false">COUNTIFS('Control Library'!$A$5:$A$50,"AI-CTRL-013",'Control Library'!$R$5:$R$50,"Implemented")+COUNTIFS('Control Library'!$A$5:$A$50,"AI-CTRL-017",'Control Library'!$R$5:$R$50,"Implemented")</f>
        <v>0</v>
      </c>
      <c r="K970" s="43" t="str">
        <f aca="false">IF(I970=0,"No wiki control",IF(J970=I970,"Fully covered",IF(J970=0,"Not covered","Partly covered")))</f>
        <v>Not covered</v>
      </c>
      <c r="L970" s="9" t="s">
        <v>3112</v>
      </c>
    </row>
    <row r="971" customFormat="false" ht="23.85" hidden="false" customHeight="false" outlineLevel="0" collapsed="false">
      <c r="A971" s="58" t="s">
        <v>626</v>
      </c>
      <c r="B971" s="58" t="s">
        <v>613</v>
      </c>
      <c r="C971" s="5" t="s">
        <v>3141</v>
      </c>
      <c r="D971" s="6" t="s">
        <v>3142</v>
      </c>
      <c r="E971" s="6"/>
      <c r="F971" s="6" t="s">
        <v>640</v>
      </c>
      <c r="G971" s="6"/>
      <c r="H971" s="6"/>
      <c r="I971" s="26" t="n">
        <v>0</v>
      </c>
      <c r="J971" s="26" t="n">
        <f aca="false">0</f>
        <v>0</v>
      </c>
      <c r="K971" s="43" t="str">
        <f aca="false">IF(I971=0,"No wiki control",IF(J971=I971,"Fully covered",IF(J971=0,"Not covered","Partly covered")))</f>
        <v>No wiki control</v>
      </c>
      <c r="L971" s="9" t="s">
        <v>3112</v>
      </c>
    </row>
    <row r="972" customFormat="false" ht="23.85" hidden="false" customHeight="false" outlineLevel="0" collapsed="false">
      <c r="A972" s="58" t="s">
        <v>626</v>
      </c>
      <c r="B972" s="58" t="s">
        <v>613</v>
      </c>
      <c r="C972" s="5" t="s">
        <v>3143</v>
      </c>
      <c r="D972" s="6" t="s">
        <v>3144</v>
      </c>
      <c r="E972" s="6" t="s">
        <v>1258</v>
      </c>
      <c r="F972" s="6" t="s">
        <v>730</v>
      </c>
      <c r="G972" s="6" t="s">
        <v>375</v>
      </c>
      <c r="H972" s="6"/>
      <c r="I972" s="26" t="n">
        <v>2</v>
      </c>
      <c r="J972" s="26" t="n">
        <f aca="false">COUNTIFS('Control Library'!$A$5:$A$50,"AI-CTRL-006",'Control Library'!$R$5:$R$50,"Implemented")+COUNTIFS('Control Library'!$A$5:$A$50,"AI-CTRL-025",'Control Library'!$R$5:$R$50,"Implemented")</f>
        <v>0</v>
      </c>
      <c r="K972" s="43" t="str">
        <f aca="false">IF(I972=0,"No wiki control",IF(J972=I972,"Fully covered",IF(J972=0,"Not covered","Partly covered")))</f>
        <v>Not covered</v>
      </c>
      <c r="L972" s="9" t="s">
        <v>3112</v>
      </c>
    </row>
    <row r="973" customFormat="false" ht="46.25" hidden="false" customHeight="false" outlineLevel="0" collapsed="false">
      <c r="A973" s="58" t="s">
        <v>626</v>
      </c>
      <c r="B973" s="58" t="s">
        <v>613</v>
      </c>
      <c r="C973" s="5" t="s">
        <v>3145</v>
      </c>
      <c r="D973" s="6" t="s">
        <v>3146</v>
      </c>
      <c r="E973" s="6" t="s">
        <v>2096</v>
      </c>
      <c r="F973" s="6" t="s">
        <v>730</v>
      </c>
      <c r="G973" s="6" t="s">
        <v>258</v>
      </c>
      <c r="H973" s="6" t="s">
        <v>642</v>
      </c>
      <c r="I973" s="26" t="n">
        <v>2</v>
      </c>
      <c r="J973" s="26" t="n">
        <f aca="false">COUNTIFS('Control Library'!$A$5:$A$50,"AI-CTRL-001",'Control Library'!$R$5:$R$50,"Implemented")+COUNTIFS('Control Library'!$A$5:$A$50,"AI-CTRL-011",'Control Library'!$R$5:$R$50,"Implemented")</f>
        <v>0</v>
      </c>
      <c r="K973" s="43" t="str">
        <f aca="false">IF(I973=0,"No wiki control",IF(J973=I973,"Fully covered",IF(J973=0,"Not covered","Partly covered")))</f>
        <v>Not covered</v>
      </c>
      <c r="L973" s="9" t="s">
        <v>3112</v>
      </c>
    </row>
    <row r="974" customFormat="false" ht="35.05" hidden="false" customHeight="false" outlineLevel="0" collapsed="false">
      <c r="A974" s="58" t="s">
        <v>626</v>
      </c>
      <c r="B974" s="58" t="s">
        <v>613</v>
      </c>
      <c r="C974" s="5" t="s">
        <v>3147</v>
      </c>
      <c r="D974" s="6" t="s">
        <v>3148</v>
      </c>
      <c r="E974" s="6" t="s">
        <v>530</v>
      </c>
      <c r="F974" s="6" t="s">
        <v>730</v>
      </c>
      <c r="G974" s="6" t="s">
        <v>533</v>
      </c>
      <c r="H974" s="6" t="s">
        <v>642</v>
      </c>
      <c r="I974" s="26" t="n">
        <v>1</v>
      </c>
      <c r="J974" s="26" t="n">
        <f aca="false">COUNTIFS('Control Library'!$A$5:$A$50,"AI-CTRL-044",'Control Library'!$R$5:$R$50,"Implemented")</f>
        <v>0</v>
      </c>
      <c r="K974" s="43" t="str">
        <f aca="false">IF(I974=0,"No wiki control",IF(J974=I974,"Fully covered",IF(J974=0,"Not covered","Partly covered")))</f>
        <v>Not covered</v>
      </c>
      <c r="L974" s="9" t="s">
        <v>3112</v>
      </c>
    </row>
    <row r="975" customFormat="false" ht="79.85" hidden="false" customHeight="false" outlineLevel="0" collapsed="false">
      <c r="A975" s="58" t="s">
        <v>626</v>
      </c>
      <c r="B975" s="58" t="s">
        <v>613</v>
      </c>
      <c r="C975" s="5" t="s">
        <v>3149</v>
      </c>
      <c r="D975" s="6" t="s">
        <v>3150</v>
      </c>
      <c r="E975" s="6" t="s">
        <v>3151</v>
      </c>
      <c r="F975" s="6" t="s">
        <v>730</v>
      </c>
      <c r="G975" s="6" t="s">
        <v>3152</v>
      </c>
      <c r="H975" s="6" t="s">
        <v>642</v>
      </c>
      <c r="I975" s="26" t="n">
        <v>6</v>
      </c>
      <c r="J975" s="26" t="n">
        <f aca="false">COUNTIFS('Control Library'!$A$5:$A$50,"AI-CTRL-005",'Control Library'!$R$5:$R$50,"Implemented")+COUNTIFS('Control Library'!$A$5:$A$50,"AI-CTRL-013",'Control Library'!$R$5:$R$50,"Implemented")+COUNTIFS('Control Library'!$A$5:$A$50,"AI-CTRL-014",'Control Library'!$R$5:$R$50,"Implemented")+COUNTIFS('Control Library'!$A$5:$A$50,"AI-CTRL-017",'Control Library'!$R$5:$R$50,"Implemented")+COUNTIFS('Control Library'!$A$5:$A$50,"AI-CTRL-029",'Control Library'!$R$5:$R$50,"Implemented")+COUNTIFS('Control Library'!$A$5:$A$50,"AI-CTRL-031",'Control Library'!$R$5:$R$50,"Implemented")</f>
        <v>0</v>
      </c>
      <c r="K975" s="43" t="str">
        <f aca="false">IF(I975=0,"No wiki control",IF(J975=I975,"Fully covered",IF(J975=0,"Not covered","Partly covered")))</f>
        <v>Not covered</v>
      </c>
      <c r="L975" s="9" t="s">
        <v>3112</v>
      </c>
    </row>
    <row r="976" customFormat="false" ht="68.65" hidden="false" customHeight="false" outlineLevel="0" collapsed="false">
      <c r="A976" s="58" t="s">
        <v>626</v>
      </c>
      <c r="B976" s="58" t="s">
        <v>613</v>
      </c>
      <c r="C976" s="5" t="s">
        <v>3153</v>
      </c>
      <c r="D976" s="6" t="s">
        <v>3154</v>
      </c>
      <c r="E976" s="6" t="s">
        <v>3155</v>
      </c>
      <c r="F976" s="6" t="s">
        <v>730</v>
      </c>
      <c r="G976" s="6" t="s">
        <v>3156</v>
      </c>
      <c r="H976" s="6" t="s">
        <v>657</v>
      </c>
      <c r="I976" s="26" t="n">
        <v>9</v>
      </c>
      <c r="J976" s="26" t="n">
        <f aca="false">COUNTIFS('Control Library'!$A$5:$A$50,"AI-CTRL-008",'Control Library'!$R$5:$R$50,"Implemented")+COUNTIFS('Control Library'!$A$5:$A$50,"AI-CTRL-009",'Control Library'!$R$5:$R$50,"Implemented")+COUNTIFS('Control Library'!$A$5:$A$50,"AI-CTRL-011",'Control Library'!$R$5:$R$50,"Implemented")+COUNTIFS('Control Library'!$A$5:$A$50,"AI-CTRL-025",'Control Library'!$R$5:$R$50,"Implemented")+COUNTIFS('Control Library'!$A$5:$A$50,"AI-CTRL-033",'Control Library'!$R$5:$R$50,"Implemented")+COUNTIFS('Control Library'!$A$5:$A$50,"AI-CTRL-034",'Control Library'!$R$5:$R$50,"Implemented")+COUNTIFS('Control Library'!$A$5:$A$50,"AI-CTRL-037",'Control Library'!$R$5:$R$50,"Implemented")+COUNTIFS('Control Library'!$A$5:$A$50,"AI-CTRL-038",'Control Library'!$R$5:$R$50,"Implemented")+COUNTIFS('Control Library'!$A$5:$A$50,"AI-CTRL-040",'Control Library'!$R$5:$R$50,"Implemented")</f>
        <v>0</v>
      </c>
      <c r="K976" s="43" t="str">
        <f aca="false">IF(I976=0,"No wiki control",IF(J976=I976,"Fully covered",IF(J976=0,"Not covered","Partly covered")))</f>
        <v>Not covered</v>
      </c>
      <c r="L976" s="9" t="s">
        <v>3112</v>
      </c>
    </row>
    <row r="977" customFormat="false" ht="57.45" hidden="false" customHeight="false" outlineLevel="0" collapsed="false">
      <c r="A977" s="58" t="s">
        <v>626</v>
      </c>
      <c r="B977" s="58" t="s">
        <v>613</v>
      </c>
      <c r="C977" s="5" t="s">
        <v>3157</v>
      </c>
      <c r="D977" s="6" t="s">
        <v>3158</v>
      </c>
      <c r="E977" s="6" t="s">
        <v>3159</v>
      </c>
      <c r="F977" s="6" t="s">
        <v>730</v>
      </c>
      <c r="G977" s="6" t="s">
        <v>3160</v>
      </c>
      <c r="H977" s="6" t="s">
        <v>642</v>
      </c>
      <c r="I977" s="26" t="n">
        <v>3</v>
      </c>
      <c r="J977" s="26" t="n">
        <f aca="false">COUNTIFS('Control Library'!$A$5:$A$50,"AI-CTRL-011",'Control Library'!$R$5:$R$50,"Implemented")+COUNTIFS('Control Library'!$A$5:$A$50,"AI-CTRL-023",'Control Library'!$R$5:$R$50,"Implemented")+COUNTIFS('Control Library'!$A$5:$A$50,"AI-CTRL-045",'Control Library'!$R$5:$R$50,"Implemented")</f>
        <v>0</v>
      </c>
      <c r="K977" s="43" t="str">
        <f aca="false">IF(I977=0,"No wiki control",IF(J977=I977,"Fully covered",IF(J977=0,"Not covered","Partly covered")))</f>
        <v>Not covered</v>
      </c>
      <c r="L977" s="9" t="s">
        <v>3112</v>
      </c>
    </row>
  </sheetData>
  <autoFilter ref="A4:L977"/>
  <conditionalFormatting sqref="K5:K977">
    <cfRule type="cellIs" priority="2" operator="equal" aboveAverage="0" equalAverage="0" bottom="0" percent="0" rank="0" text="" dxfId="20">
      <formula>"Fully covered"</formula>
    </cfRule>
    <cfRule type="cellIs" priority="3" operator="equal" aboveAverage="0" equalAverage="0" bottom="0" percent="0" rank="0" text="" dxfId="21">
      <formula>"Partly covered"</formula>
    </cfRule>
    <cfRule type="cellIs" priority="4" operator="equal" aboveAverage="0" equalAverage="0" bottom="0" percent="0" rank="0" text="" dxfId="22">
      <formula>"Not covered"</formula>
    </cfRule>
    <cfRule type="cellIs" priority="5" operator="equal" aboveAverage="0" equalAverage="0" bottom="0" percent="0" rank="0" text="" dxfId="23">
      <formula>"No wiki control"</formula>
    </cfRule>
  </conditionalFormatting>
  <hyperlinks>
    <hyperlink ref="L5" r:id="rId1" display="FINOS AI Governance Framework Crosswalk"/>
    <hyperlink ref="L6" r:id="rId2" display="FINOS AI Governance Framework Crosswalk"/>
    <hyperlink ref="L7" r:id="rId3" display="FINOS AI Governance Framework Crosswalk"/>
    <hyperlink ref="L8" r:id="rId4" display="FINOS AI Governance Framework Crosswalk"/>
    <hyperlink ref="L9" r:id="rId5" display="FINOS AI Governance Framework Crosswalk"/>
    <hyperlink ref="L10" r:id="rId6" display="FINOS AI Governance Framework Crosswalk"/>
    <hyperlink ref="L11" r:id="rId7" display="FINOS AI Governance Framework Crosswalk"/>
    <hyperlink ref="L12" r:id="rId8" display="FINOS AI Governance Framework Crosswalk"/>
    <hyperlink ref="L13" r:id="rId9" display="FINOS AI Governance Framework Crosswalk"/>
    <hyperlink ref="L14" r:id="rId10" display="FINOS AI Governance Framework Crosswalk"/>
    <hyperlink ref="L15" r:id="rId11" display="FINOS AI Governance Framework Crosswalk"/>
    <hyperlink ref="L16" r:id="rId12" display="FINOS AI Governance Framework Crosswalk"/>
    <hyperlink ref="L17" r:id="rId13" display="FINOS AI Governance Framework Crosswalk"/>
    <hyperlink ref="L18" r:id="rId14" display="FINOS AI Governance Framework Crosswalk"/>
    <hyperlink ref="L19" r:id="rId15" display="FINOS AI Governance Framework Crosswalk"/>
    <hyperlink ref="L20" r:id="rId16" display="FINOS AI Governance Framework Crosswalk"/>
    <hyperlink ref="L21" r:id="rId17" display="FINOS AI Governance Framework Crosswalk"/>
    <hyperlink ref="L22" r:id="rId18" display="FINOS AI Governance Framework Crosswalk"/>
    <hyperlink ref="L23" r:id="rId19" display="FINOS AI Governance Framework Crosswalk"/>
    <hyperlink ref="L24" r:id="rId20" display="FINOS AI Governance Framework Crosswalk"/>
    <hyperlink ref="L25" r:id="rId21" display="FINOS AI Governance Framework Crosswalk"/>
    <hyperlink ref="L26" r:id="rId22" display="FINOS AI Governance Framework Crosswalk"/>
    <hyperlink ref="L27" r:id="rId23" display="FINOS AI Governance Framework Crosswalk"/>
    <hyperlink ref="L28" r:id="rId24" display="FINOS AI Governance Framework Crosswalk"/>
    <hyperlink ref="L29" r:id="rId25" display="FINOS AI Governance Framework Crosswalk"/>
    <hyperlink ref="L30" r:id="rId26" display="FINOS AI Governance Framework Crosswalk"/>
    <hyperlink ref="L31" r:id="rId27" display="FINOS AI Governance Framework Crosswalk"/>
    <hyperlink ref="L32" r:id="rId28" display="FINOS AI Governance Framework Crosswalk"/>
    <hyperlink ref="L33" r:id="rId29" display="FINOS AI Governance Framework Crosswalk"/>
    <hyperlink ref="L34" r:id="rId30" display="FINOS AI Governance Framework Crosswalk"/>
    <hyperlink ref="L35" r:id="rId31" display="FINOS AI Governance Framework Crosswalk"/>
    <hyperlink ref="L36" r:id="rId32" display="FINOS AI Governance Framework Crosswalk"/>
    <hyperlink ref="L37" r:id="rId33" display="FINOS AI Governance Framework Crosswalk"/>
    <hyperlink ref="L38" r:id="rId34" display="FINOS AI Governance Framework Crosswalk"/>
    <hyperlink ref="L39" r:id="rId35" display="FINOS AI Governance Framework Crosswalk"/>
    <hyperlink ref="L40" r:id="rId36" display="FINOS AI Governance Framework Crosswalk"/>
    <hyperlink ref="L41" r:id="rId37" display="FINOS AI Governance Framework Crosswalk"/>
    <hyperlink ref="L42" r:id="rId38" display="FINOS AI Governance Framework Crosswalk"/>
    <hyperlink ref="L43" r:id="rId39" display="FINOS AI Governance Framework Crosswalk"/>
    <hyperlink ref="L44" r:id="rId40" display="FINOS AI Governance Framework Crosswalk"/>
    <hyperlink ref="L45" r:id="rId41" display="FINOS AI Governance Framework Crosswalk"/>
    <hyperlink ref="L46" r:id="rId42" display="FINOS AI Governance Framework Crosswalk"/>
    <hyperlink ref="L47" r:id="rId43" display="FINOS AI Governance Framework Crosswalk"/>
    <hyperlink ref="L48" r:id="rId44" display="FINOS AI Governance Framework Crosswalk"/>
    <hyperlink ref="L49" r:id="rId45" display="FINOS AI Governance Framework Crosswalk"/>
    <hyperlink ref="L50" r:id="rId46" display="FINOS AI Governance Framework Crosswalk"/>
    <hyperlink ref="L51" r:id="rId47" display="FINOS AI Governance Framework Crosswalk"/>
    <hyperlink ref="L52" r:id="rId48" display="FINOS AI Governance Framework Crosswalk"/>
    <hyperlink ref="L53" r:id="rId49" display="FINOS AI Governance Framework Crosswalk"/>
    <hyperlink ref="L54" r:id="rId50" display="AI Risk Map Crosswalk"/>
    <hyperlink ref="L55" r:id="rId51" display="AI Risk Map Crosswalk"/>
    <hyperlink ref="L56" r:id="rId52" display="AI Risk Map Crosswalk"/>
    <hyperlink ref="L57" r:id="rId53" display="AI Risk Map Crosswalk"/>
    <hyperlink ref="L58" r:id="rId54" display="AI Risk Map Crosswalk"/>
    <hyperlink ref="L59" r:id="rId55" display="AI Risk Map Crosswalk"/>
    <hyperlink ref="L60" r:id="rId56" display="AI Risk Map Crosswalk"/>
    <hyperlink ref="L61" r:id="rId57" display="AI Risk Map Crosswalk"/>
    <hyperlink ref="L62" r:id="rId58" display="AI Risk Map Crosswalk"/>
    <hyperlink ref="L63" r:id="rId59" display="AI Risk Map Crosswalk"/>
    <hyperlink ref="L64" r:id="rId60" display="AI Risk Map Crosswalk"/>
    <hyperlink ref="L65" r:id="rId61" display="AI Risk Map Crosswalk"/>
    <hyperlink ref="L66" r:id="rId62" display="AI Risk Map Crosswalk"/>
    <hyperlink ref="L67" r:id="rId63" display="AI Risk Map Crosswalk"/>
    <hyperlink ref="L68" r:id="rId64" display="AI Risk Map Crosswalk"/>
    <hyperlink ref="L69" r:id="rId65" display="AI Risk Map Crosswalk"/>
    <hyperlink ref="L70" r:id="rId66" display="AI Risk Map Crosswalk"/>
    <hyperlink ref="L71" r:id="rId67" display="AI Risk Map Crosswalk"/>
    <hyperlink ref="L72" r:id="rId68" display="AI Risk Map Crosswalk"/>
    <hyperlink ref="L73" r:id="rId69" display="AI Risk Map Crosswalk"/>
    <hyperlink ref="L74" r:id="rId70" display="AI Risk Map Crosswalk"/>
    <hyperlink ref="L75" r:id="rId71" display="AI Risk Map Crosswalk"/>
    <hyperlink ref="L76" r:id="rId72" display="AI Risk Map Crosswalk"/>
    <hyperlink ref="L77" r:id="rId73" display="AI Risk Map Crosswalk"/>
    <hyperlink ref="L78" r:id="rId74" display="AI Risk Map Crosswalk"/>
    <hyperlink ref="L79" r:id="rId75" display="AI Risk Map Crosswalk"/>
    <hyperlink ref="L80" r:id="rId76" display="AI Risk Map Crosswalk"/>
    <hyperlink ref="L81" r:id="rId77" display="AI Risk Map Crosswalk"/>
    <hyperlink ref="L82" r:id="rId78" display="AI Risk Map Crosswalk"/>
    <hyperlink ref="L83" r:id="rId79" display="AI Risk Map Crosswalk"/>
    <hyperlink ref="L84" r:id="rId80" display="AI Risk Map Crosswalk"/>
    <hyperlink ref="L85" r:id="rId81" display="AI Risk Map Crosswalk"/>
    <hyperlink ref="L86" r:id="rId82" display="AI Risk Map Crosswalk"/>
    <hyperlink ref="L87" r:id="rId83" display="AI Risk Map Crosswalk"/>
    <hyperlink ref="L88" r:id="rId84" display="AI Risk Map Crosswalk"/>
    <hyperlink ref="L89" r:id="rId85" display="AI Risk Map Crosswalk"/>
    <hyperlink ref="L90" r:id="rId86" display="AI Risk Map Crosswalk"/>
    <hyperlink ref="L91" r:id="rId87" display="AI Risk Map Crosswalk"/>
    <hyperlink ref="L92" r:id="rId88" display="AI Risk Map Crosswalk"/>
    <hyperlink ref="L93" r:id="rId89" display="AI Risk Map Crosswalk"/>
    <hyperlink ref="L94" r:id="rId90" display="AI Risk Map Crosswalk"/>
    <hyperlink ref="L95" r:id="rId91" display="AI Risk Map Crosswalk"/>
    <hyperlink ref="L96" r:id="rId92" display="AI Risk Map Crosswalk"/>
    <hyperlink ref="L97" r:id="rId93" display="AI Risk Map Crosswalk"/>
    <hyperlink ref="L98" r:id="rId94" display="AI Risk Map Crosswalk"/>
    <hyperlink ref="L99" r:id="rId95" display="AI Risk Map Crosswalk"/>
    <hyperlink ref="L100" r:id="rId96" display="AI Risk Map Crosswalk"/>
    <hyperlink ref="L101" r:id="rId97" display="AI Risk Map Crosswalk"/>
    <hyperlink ref="L102" r:id="rId98" display="AI Risk Map Crosswalk"/>
    <hyperlink ref="L103" r:id="rId99" display="AI Risk Map Crosswalk"/>
    <hyperlink ref="L104" r:id="rId100" display="AI Risk Map Crosswalk"/>
    <hyperlink ref="L105" r:id="rId101" display="AI Risk Map Crosswalk"/>
    <hyperlink ref="L106" r:id="rId102" display="AI Risk Map Crosswalk"/>
    <hyperlink ref="L107" r:id="rId103" display="AI Risk Map Crosswalk"/>
    <hyperlink ref="L108" r:id="rId104" display="AI Risk Map Crosswalk"/>
    <hyperlink ref="L109" r:id="rId105" display="NIST AI RMF Crosswalk"/>
    <hyperlink ref="L110" r:id="rId106" display="NIST AI RMF Crosswalk"/>
    <hyperlink ref="L111" r:id="rId107" display="NIST AI RMF Crosswalk"/>
    <hyperlink ref="L112" r:id="rId108" display="NIST AI RMF Crosswalk"/>
    <hyperlink ref="L113" r:id="rId109" display="NIST AI RMF Crosswalk"/>
    <hyperlink ref="L114" r:id="rId110" display="NIST AI RMF Crosswalk"/>
    <hyperlink ref="L115" r:id="rId111" display="NIST AI RMF Crosswalk"/>
    <hyperlink ref="L116" r:id="rId112" display="NIST AI RMF Crosswalk"/>
    <hyperlink ref="L117" r:id="rId113" display="NIST AI RMF Crosswalk"/>
    <hyperlink ref="L118" r:id="rId114" display="NIST AI RMF Crosswalk"/>
    <hyperlink ref="L119" r:id="rId115" display="NIST AI RMF Crosswalk"/>
    <hyperlink ref="L120" r:id="rId116" display="NIST AI RMF Crosswalk"/>
    <hyperlink ref="L121" r:id="rId117" display="NIST AI RMF Crosswalk"/>
    <hyperlink ref="L122" r:id="rId118" display="NIST AI RMF Crosswalk"/>
    <hyperlink ref="L123" r:id="rId119" display="NIST AI RMF Crosswalk"/>
    <hyperlink ref="L124" r:id="rId120" display="NIST AI RMF Crosswalk"/>
    <hyperlink ref="L125" r:id="rId121" display="NIST AI RMF Crosswalk"/>
    <hyperlink ref="L126" r:id="rId122" display="NIST AI RMF Crosswalk"/>
    <hyperlink ref="L127" r:id="rId123" display="NIST AI RMF Crosswalk"/>
    <hyperlink ref="L128" r:id="rId124" display="NIST AI RMF Crosswalk"/>
    <hyperlink ref="L129" r:id="rId125" display="NIST AI RMF Crosswalk"/>
    <hyperlink ref="L130" r:id="rId126" display="NIST AI RMF Crosswalk"/>
    <hyperlink ref="L131" r:id="rId127" display="NIST AI RMF Crosswalk"/>
    <hyperlink ref="L132" r:id="rId128" display="NIST AI RMF Crosswalk"/>
    <hyperlink ref="L133" r:id="rId129" display="NIST AI RMF Crosswalk"/>
    <hyperlink ref="L134" r:id="rId130" display="NIST AI RMF Crosswalk"/>
    <hyperlink ref="L135" r:id="rId131" display="NIST AI RMF Crosswalk"/>
    <hyperlink ref="L136" r:id="rId132" display="NIST AI RMF Crosswalk"/>
    <hyperlink ref="L137" r:id="rId133" display="NIST AI RMF Crosswalk"/>
    <hyperlink ref="L138" r:id="rId134" display="NIST AI RMF Crosswalk"/>
    <hyperlink ref="L139" r:id="rId135" display="NIST AI RMF Crosswalk"/>
    <hyperlink ref="L140" r:id="rId136" display="NIST AI RMF Crosswalk"/>
    <hyperlink ref="L141" r:id="rId137" display="NIST AI RMF Crosswalk"/>
    <hyperlink ref="L142" r:id="rId138" display="NIST AI RMF Crosswalk"/>
    <hyperlink ref="L143" r:id="rId139" display="NIST AI RMF Crosswalk"/>
    <hyperlink ref="L144" r:id="rId140" display="NIST AI RMF Crosswalk"/>
    <hyperlink ref="L145" r:id="rId141" display="NIST AI RMF Crosswalk"/>
    <hyperlink ref="L146" r:id="rId142" display="NIST AI RMF Crosswalk"/>
    <hyperlink ref="L147" r:id="rId143" display="NIST AI RMF Crosswalk"/>
    <hyperlink ref="L148" r:id="rId144" display="NIST AI RMF Crosswalk"/>
    <hyperlink ref="L149" r:id="rId145" display="NIST AI RMF Crosswalk"/>
    <hyperlink ref="L150" r:id="rId146" display="NIST AI RMF Crosswalk"/>
    <hyperlink ref="L151" r:id="rId147" display="NIST AI RMF Crosswalk"/>
    <hyperlink ref="L152" r:id="rId148" display="NIST AI RMF Crosswalk"/>
    <hyperlink ref="L153" r:id="rId149" display="NIST AI RMF Crosswalk"/>
    <hyperlink ref="L154" r:id="rId150" display="NIST AI RMF Crosswalk"/>
    <hyperlink ref="L155" r:id="rId151" display="NIST AI RMF Crosswalk"/>
    <hyperlink ref="L156" r:id="rId152" display="NIST AI RMF Crosswalk"/>
    <hyperlink ref="L157" r:id="rId153" display="NIST AI RMF Crosswalk"/>
    <hyperlink ref="L158" r:id="rId154" display="NIST AI RMF Crosswalk"/>
    <hyperlink ref="L159" r:id="rId155" display="NIST AI RMF Crosswalk"/>
    <hyperlink ref="L160" r:id="rId156" display="NIST AI RMF Crosswalk"/>
    <hyperlink ref="L161" r:id="rId157" display="NIST AI RMF Crosswalk"/>
    <hyperlink ref="L162" r:id="rId158" display="NIST AI RMF Crosswalk"/>
    <hyperlink ref="L163" r:id="rId159" display="NIST AI RMF Crosswalk"/>
    <hyperlink ref="L164" r:id="rId160" display="NIST AI RMF Crosswalk"/>
    <hyperlink ref="L165" r:id="rId161" display="NIST AI RMF Crosswalk"/>
    <hyperlink ref="L166" r:id="rId162" display="NIST AI RMF Crosswalk"/>
    <hyperlink ref="L167" r:id="rId163" display="NIST AI RMF Crosswalk"/>
    <hyperlink ref="L168" r:id="rId164" display="NIST AI RMF Crosswalk"/>
    <hyperlink ref="L169" r:id="rId165" display="NIST AI RMF Crosswalk"/>
    <hyperlink ref="L170" r:id="rId166" display="NIST AI RMF Crosswalk"/>
    <hyperlink ref="L171" r:id="rId167" display="NIST AI RMF Crosswalk"/>
    <hyperlink ref="L172" r:id="rId168" display="NIST AI RMF Crosswalk"/>
    <hyperlink ref="L173" r:id="rId169" display="NIST AI RMF Crosswalk"/>
    <hyperlink ref="L174" r:id="rId170" display="NIST AI RMF Crosswalk"/>
    <hyperlink ref="L175" r:id="rId171" display="NIST AI RMF Crosswalk"/>
    <hyperlink ref="L176" r:id="rId172" display="NIST AI RMF Crosswalk"/>
    <hyperlink ref="L177" r:id="rId173" display="NIST AI RMF Crosswalk"/>
    <hyperlink ref="L178" r:id="rId174" display="NIST AI RMF Crosswalk"/>
    <hyperlink ref="L179" r:id="rId175" display="NIST AI RMF Crosswalk"/>
    <hyperlink ref="L180" r:id="rId176" display="NIST AI RMF Crosswalk"/>
    <hyperlink ref="L181" r:id="rId177" display="NIST AI 600-1 Generative AI Profile Crosswalk"/>
    <hyperlink ref="L182" r:id="rId178" display="NIST AI 600-1 Generative AI Profile Crosswalk"/>
    <hyperlink ref="L183" r:id="rId179" display="NIST AI 600-1 Generative AI Profile Crosswalk"/>
    <hyperlink ref="L184" r:id="rId180" display="NIST AI 600-1 Generative AI Profile Crosswalk"/>
    <hyperlink ref="L185" r:id="rId181" display="NIST AI 600-1 Generative AI Profile Crosswalk"/>
    <hyperlink ref="L186" r:id="rId182" display="NIST AI 600-1 Generative AI Profile Crosswalk"/>
    <hyperlink ref="L187" r:id="rId183" display="NIST AI 600-1 Generative AI Profile Crosswalk"/>
    <hyperlink ref="L188" r:id="rId184" display="NIST AI 600-1 Generative AI Profile Crosswalk"/>
    <hyperlink ref="L189" r:id="rId185" display="NIST AI 600-1 Generative AI Profile Crosswalk"/>
    <hyperlink ref="L190" r:id="rId186" display="NIST AI 600-1 Generative AI Profile Crosswalk"/>
    <hyperlink ref="L191" r:id="rId187" display="NIST AI 600-1 Generative AI Profile Crosswalk"/>
    <hyperlink ref="L192" r:id="rId188" display="NIST AI 600-1 Generative AI Profile Crosswalk"/>
    <hyperlink ref="L193" r:id="rId189" display="AI BCF Crosswalk"/>
    <hyperlink ref="L194" r:id="rId190" display="AI BCF Crosswalk"/>
    <hyperlink ref="L195" r:id="rId191" display="AI BCF Crosswalk"/>
    <hyperlink ref="L196" r:id="rId192" display="AI BCF Crosswalk"/>
    <hyperlink ref="L197" r:id="rId193" display="AI BCF Crosswalk"/>
    <hyperlink ref="L198" r:id="rId194" display="AI BCF Crosswalk"/>
    <hyperlink ref="L199" r:id="rId195" display="AI BCF Crosswalk"/>
    <hyperlink ref="L200" r:id="rId196" display="AI BCF Crosswalk"/>
    <hyperlink ref="L201" r:id="rId197" display="AI BCF Crosswalk"/>
    <hyperlink ref="L202" r:id="rId198" display="AI BCF Crosswalk"/>
    <hyperlink ref="L203" r:id="rId199" display="AI BCF Crosswalk"/>
    <hyperlink ref="L204" r:id="rId200" display="AI BCF Crosswalk"/>
    <hyperlink ref="L205" r:id="rId201" display="AI BCF Crosswalk"/>
    <hyperlink ref="L206" r:id="rId202" display="AI BCF Crosswalk"/>
    <hyperlink ref="L207" r:id="rId203" display="AI BCF Crosswalk"/>
    <hyperlink ref="L208" r:id="rId204" display="AI BCF Crosswalk"/>
    <hyperlink ref="L209" r:id="rId205" display="AI BCF Crosswalk"/>
    <hyperlink ref="L210" r:id="rId206" display="AI BCF Crosswalk"/>
    <hyperlink ref="L211" r:id="rId207" display="AI BCF Crosswalk"/>
    <hyperlink ref="L212" r:id="rId208" display="AI BCF Crosswalk"/>
    <hyperlink ref="L213" r:id="rId209" display="OWASP Top 10 Crosswalk"/>
    <hyperlink ref="L214" r:id="rId210" display="OWASP Top 10 Crosswalk"/>
    <hyperlink ref="L215" r:id="rId211" display="OWASP Top 10 Crosswalk"/>
    <hyperlink ref="L216" r:id="rId212" display="OWASP Top 10 Crosswalk"/>
    <hyperlink ref="L217" r:id="rId213" display="OWASP Top 10 Crosswalk"/>
    <hyperlink ref="L218" r:id="rId214" display="OWASP Top 10 Crosswalk"/>
    <hyperlink ref="L219" r:id="rId215" display="OWASP Top 10 Crosswalk"/>
    <hyperlink ref="L220" r:id="rId216" display="OWASP Top 10 Crosswalk"/>
    <hyperlink ref="L221" r:id="rId217" display="OWASP Top 10 Crosswalk"/>
    <hyperlink ref="L222" r:id="rId218" display="OWASP Top 10 Crosswalk"/>
    <hyperlink ref="L223" r:id="rId219" display="OWASP Top 10 Crosswalk"/>
    <hyperlink ref="L224" r:id="rId220" display="OWASP Top 10 Crosswalk"/>
    <hyperlink ref="L225" r:id="rId221" display="OWASP Top 10 Crosswalk"/>
    <hyperlink ref="L226" r:id="rId222" display="OWASP Top 10 Crosswalk"/>
    <hyperlink ref="L227" r:id="rId223" display="OWASP Top 10 Crosswalk"/>
    <hyperlink ref="L228" r:id="rId224" display="OWASP Top 10 Crosswalk"/>
    <hyperlink ref="L229" r:id="rId225" display="OWASP Top 10 Crosswalk"/>
    <hyperlink ref="L230" r:id="rId226" display="OWASP Top 10 Crosswalk"/>
    <hyperlink ref="L231" r:id="rId227" display="OWASP Top 10 Crosswalk"/>
    <hyperlink ref="L232" r:id="rId228" display="OWASP Top 10 Crosswalk"/>
    <hyperlink ref="L233" r:id="rId229" display="OWASP MCP Top 10 Crosswalk"/>
    <hyperlink ref="L234" r:id="rId230" display="OWASP MCP Top 10 Crosswalk"/>
    <hyperlink ref="L235" r:id="rId231" display="OWASP MCP Top 10 Crosswalk"/>
    <hyperlink ref="L236" r:id="rId232" display="OWASP MCP Top 10 Crosswalk"/>
    <hyperlink ref="L237" r:id="rId233" display="OWASP MCP Top 10 Crosswalk"/>
    <hyperlink ref="L238" r:id="rId234" display="OWASP MCP Top 10 Crosswalk"/>
    <hyperlink ref="L239" r:id="rId235" display="OWASP MCP Top 10 Crosswalk"/>
    <hyperlink ref="L240" r:id="rId236" display="OWASP MCP Top 10 Crosswalk"/>
    <hyperlink ref="L241" r:id="rId237" display="OWASP MCP Top 10 Crosswalk"/>
    <hyperlink ref="L242" r:id="rId238" display="OWASP MCP Top 10 Crosswalk"/>
    <hyperlink ref="L243" r:id="rId239" display="MITRE ATLAS Crosswalk"/>
    <hyperlink ref="L244" r:id="rId240" display="MITRE ATLAS Crosswalk"/>
    <hyperlink ref="L245" r:id="rId241" display="MITRE ATLAS Crosswalk"/>
    <hyperlink ref="L246" r:id="rId242" display="MITRE ATLAS Crosswalk"/>
    <hyperlink ref="L247" r:id="rId243" display="MITRE ATLAS Crosswalk"/>
    <hyperlink ref="L248" r:id="rId244" display="MITRE ATLAS Crosswalk"/>
    <hyperlink ref="L249" r:id="rId245" display="MITRE ATLAS Crosswalk"/>
    <hyperlink ref="L250" r:id="rId246" display="MITRE ATLAS Crosswalk"/>
    <hyperlink ref="L251" r:id="rId247" display="MITRE ATLAS Crosswalk"/>
    <hyperlink ref="L252" r:id="rId248" display="MITRE ATLAS Crosswalk"/>
    <hyperlink ref="L253" r:id="rId249" display="MITRE ATLAS Crosswalk"/>
    <hyperlink ref="L254" r:id="rId250" display="MITRE ATLAS Crosswalk"/>
    <hyperlink ref="L255" r:id="rId251" display="MITRE ATLAS Crosswalk"/>
    <hyperlink ref="L256" r:id="rId252" display="MITRE ATLAS Crosswalk"/>
    <hyperlink ref="L257" r:id="rId253" display="MITRE ATLAS Crosswalk"/>
    <hyperlink ref="L258" r:id="rId254" display="MITRE ATLAS Crosswalk"/>
    <hyperlink ref="L259" r:id="rId255" display="MITRE ATLAS Crosswalk"/>
    <hyperlink ref="L260" r:id="rId256" display="MITRE ATLAS Crosswalk"/>
    <hyperlink ref="L261" r:id="rId257" display="MITRE ATLAS Crosswalk"/>
    <hyperlink ref="L262" r:id="rId258" display="MITRE ATLAS Crosswalk"/>
    <hyperlink ref="L263" r:id="rId259" display="MITRE ATLAS Crosswalk"/>
    <hyperlink ref="L264" r:id="rId260" display="MITRE ATLAS Crosswalk"/>
    <hyperlink ref="L265" r:id="rId261" display="MITRE ATLAS Crosswalk"/>
    <hyperlink ref="L266" r:id="rId262" display="MITRE ATLAS Crosswalk"/>
    <hyperlink ref="L267" r:id="rId263" display="MITRE ATLAS Crosswalk"/>
    <hyperlink ref="L268" r:id="rId264" display="MITRE ATLAS Crosswalk"/>
    <hyperlink ref="L269" r:id="rId265" display="MITRE ATLAS Crosswalk"/>
    <hyperlink ref="L270" r:id="rId266" display="MITRE ATLAS Crosswalk"/>
    <hyperlink ref="L271" r:id="rId267" display="MITRE ATLAS Crosswalk"/>
    <hyperlink ref="L272" r:id="rId268" display="MITRE ATLAS Crosswalk"/>
    <hyperlink ref="L273" r:id="rId269" display="MITRE ATLAS Crosswalk"/>
    <hyperlink ref="L274" r:id="rId270" display="MITRE ATLAS Crosswalk"/>
    <hyperlink ref="L275" r:id="rId271" display="MITRE ATLAS Crosswalk"/>
    <hyperlink ref="L276" r:id="rId272" display="MITRE ATLAS Crosswalk"/>
    <hyperlink ref="L277" r:id="rId273" display="MITRE ATLAS Crosswalk"/>
    <hyperlink ref="L278" r:id="rId274" display="MITRE ATLAS Crosswalk"/>
    <hyperlink ref="L279" r:id="rId275" display="MITRE ATLAS Crosswalk"/>
    <hyperlink ref="L280" r:id="rId276" display="MITRE ATLAS Crosswalk"/>
    <hyperlink ref="L281" r:id="rId277" display="MITRE ATLAS Crosswalk"/>
    <hyperlink ref="L282" r:id="rId278" display="MITRE ATLAS Crosswalk"/>
    <hyperlink ref="L283" r:id="rId279" display="MITRE ATLAS Crosswalk"/>
    <hyperlink ref="L284" r:id="rId280" display="MITRE ATLAS Crosswalk"/>
    <hyperlink ref="L285" r:id="rId281" display="MITRE ATLAS Crosswalk"/>
    <hyperlink ref="L286" r:id="rId282" display="MITRE ATLAS Crosswalk"/>
    <hyperlink ref="L287" r:id="rId283" display="MITRE ATLAS Crosswalk"/>
    <hyperlink ref="L288" r:id="rId284" display="MITRE ATLAS Crosswalk"/>
    <hyperlink ref="L289" r:id="rId285" display="MITRE ATLAS Crosswalk"/>
    <hyperlink ref="L290" r:id="rId286" display="MITRE ATLAS Crosswalk"/>
    <hyperlink ref="L291" r:id="rId287" display="MITRE ATLAS Crosswalk"/>
    <hyperlink ref="L292" r:id="rId288" display="MITRE ATLAS Crosswalk"/>
    <hyperlink ref="L293" r:id="rId289" display="MITRE ATLAS Crosswalk"/>
    <hyperlink ref="L294" r:id="rId290" display="MITRE ATLAS Crosswalk"/>
    <hyperlink ref="L295" r:id="rId291" display="MITRE ATLAS Crosswalk"/>
    <hyperlink ref="L296" r:id="rId292" display="MITRE ATLAS Crosswalk"/>
    <hyperlink ref="L297" r:id="rId293" display="MITRE ATLAS Crosswalk"/>
    <hyperlink ref="L298" r:id="rId294" display="MITRE ATLAS Crosswalk"/>
    <hyperlink ref="L299" r:id="rId295" display="MITRE ATLAS Crosswalk"/>
    <hyperlink ref="L300" r:id="rId296" display="MITRE ATLAS Crosswalk"/>
    <hyperlink ref="L301" r:id="rId297" display="MITRE ATLAS Crosswalk"/>
    <hyperlink ref="L302" r:id="rId298" display="MITRE ATLAS Crosswalk"/>
    <hyperlink ref="L303" r:id="rId299" display="MITRE ATLAS Crosswalk"/>
    <hyperlink ref="L304" r:id="rId300" display="MITRE ATLAS Crosswalk"/>
    <hyperlink ref="L305" r:id="rId301" display="MITRE ATLAS Crosswalk"/>
    <hyperlink ref="L306" r:id="rId302" display="MITRE ATLAS Crosswalk"/>
    <hyperlink ref="L307" r:id="rId303" display="MITRE ATLAS Crosswalk"/>
    <hyperlink ref="L308" r:id="rId304" display="MITRE ATLAS Crosswalk"/>
    <hyperlink ref="L309" r:id="rId305" display="MITRE ATLAS Crosswalk"/>
    <hyperlink ref="L310" r:id="rId306" display="MITRE ATLAS Crosswalk"/>
    <hyperlink ref="L311" r:id="rId307" display="MITRE ATLAS Crosswalk"/>
    <hyperlink ref="L312" r:id="rId308" display="MITRE ATLAS Crosswalk"/>
    <hyperlink ref="L313" r:id="rId309" display="MITRE ATLAS Crosswalk"/>
    <hyperlink ref="L314" r:id="rId310" display="MITRE ATLAS Crosswalk"/>
    <hyperlink ref="L315" r:id="rId311" display="MITRE ATLAS Crosswalk"/>
    <hyperlink ref="L316" r:id="rId312" display="MITRE ATLAS Crosswalk"/>
    <hyperlink ref="L317" r:id="rId313" display="MITRE ATLAS Crosswalk"/>
    <hyperlink ref="L318" r:id="rId314" display="MITRE ATLAS Crosswalk"/>
    <hyperlink ref="L319" r:id="rId315" display="MITRE ATLAS Crosswalk"/>
    <hyperlink ref="L320" r:id="rId316" display="MITRE ATLAS Crosswalk"/>
    <hyperlink ref="L321" r:id="rId317" display="MITRE ATLAS Crosswalk"/>
    <hyperlink ref="L322" r:id="rId318" display="MITRE ATLAS Crosswalk"/>
    <hyperlink ref="L323" r:id="rId319" display="MITRE ATLAS Crosswalk"/>
    <hyperlink ref="L324" r:id="rId320" display="MITRE ATLAS Crosswalk"/>
    <hyperlink ref="L325" r:id="rId321" display="MITRE ATLAS Crosswalk"/>
    <hyperlink ref="L326" r:id="rId322" display="MITRE ATLAS Crosswalk"/>
    <hyperlink ref="L327" r:id="rId323" display="MITRE ATLAS Crosswalk"/>
    <hyperlink ref="L328" r:id="rId324" display="MITRE ATLAS Crosswalk"/>
    <hyperlink ref="L329" r:id="rId325" display="MITRE ATLAS Crosswalk"/>
    <hyperlink ref="L330" r:id="rId326" display="NIST AI 100-2 Crosswalk"/>
    <hyperlink ref="L331" r:id="rId327" display="NIST AI 100-2 Crosswalk"/>
    <hyperlink ref="L332" r:id="rId328" display="NIST AI 100-2 Crosswalk"/>
    <hyperlink ref="L333" r:id="rId329" display="NIST AI 100-2 Crosswalk"/>
    <hyperlink ref="L334" r:id="rId330" display="NIST AI 100-2 Crosswalk"/>
    <hyperlink ref="L335" r:id="rId331" display="NIST AI 100-2 Crosswalk"/>
    <hyperlink ref="L336" r:id="rId332" display="NIST AI 100-2 Crosswalk"/>
    <hyperlink ref="L337" r:id="rId333" display="NIST AI 100-2 Crosswalk"/>
    <hyperlink ref="L338" r:id="rId334" display="NIST AI 100-2 Crosswalk"/>
    <hyperlink ref="L339" r:id="rId335" display="NIST AI 100-2 Crosswalk"/>
    <hyperlink ref="L340" r:id="rId336" display="NIST AI 100-2 Crosswalk"/>
    <hyperlink ref="L341" r:id="rId337" display="NIST AI 100-2 Crosswalk"/>
    <hyperlink ref="L342" r:id="rId338" display="NIST AI 100-2 Crosswalk"/>
    <hyperlink ref="L343" r:id="rId339" display="NIST AI 100-2 Crosswalk"/>
    <hyperlink ref="L344" r:id="rId340" display="NIST AI 100-2 Crosswalk"/>
    <hyperlink ref="L345" r:id="rId341" display="NIST AI 100-2 Crosswalk"/>
    <hyperlink ref="L346" r:id="rId342" display="NIST AI 100-2 Crosswalk"/>
    <hyperlink ref="L347" r:id="rId343" display="NIST AI 100-2 Crosswalk"/>
    <hyperlink ref="L348" r:id="rId344" display="NIST AI 100-2 Crosswalk"/>
    <hyperlink ref="L349" r:id="rId345" display="NIST AI 100-2 Crosswalk"/>
    <hyperlink ref="L350" r:id="rId346" display="NIST AI 100-2 Crosswalk"/>
    <hyperlink ref="L351" r:id="rId347" display="NIST AI 100-2 Crosswalk"/>
    <hyperlink ref="L352" r:id="rId348" display="NIST AI 100-2 Crosswalk"/>
    <hyperlink ref="L353" r:id="rId349" display="NIST AI 100-2 Crosswalk"/>
    <hyperlink ref="L354" r:id="rId350" display="NIST AI 100-2 Crosswalk"/>
    <hyperlink ref="L355" r:id="rId351" display="NIST AI 100-2 Crosswalk"/>
    <hyperlink ref="L356" r:id="rId352" display="ISO/IEC 42001 Crosswalk"/>
    <hyperlink ref="L357" r:id="rId353" display="ISO/IEC 42001 Crosswalk"/>
    <hyperlink ref="L358" r:id="rId354" display="ISO/IEC 42001 Crosswalk"/>
    <hyperlink ref="L359" r:id="rId355" display="ISO/IEC 42001 Crosswalk"/>
    <hyperlink ref="L360" r:id="rId356" display="ISO/IEC 42001 Crosswalk"/>
    <hyperlink ref="L361" r:id="rId357" display="ISO/IEC 42001 Crosswalk"/>
    <hyperlink ref="L362" r:id="rId358" display="ISO/IEC 42001 Crosswalk"/>
    <hyperlink ref="L363" r:id="rId359" display="ISO/IEC 42001 Crosswalk"/>
    <hyperlink ref="L364" r:id="rId360" display="ISO/IEC 42001 Crosswalk"/>
    <hyperlink ref="L365" r:id="rId361" display="ISO/IEC 42001 Crosswalk"/>
    <hyperlink ref="L366" r:id="rId362" display="ISO/IEC 42001 Crosswalk"/>
    <hyperlink ref="L367" r:id="rId363" display="ISO/IEC 42001 Crosswalk"/>
    <hyperlink ref="L368" r:id="rId364" display="ISO/IEC 42001 Crosswalk"/>
    <hyperlink ref="L369" r:id="rId365" display="ISO/IEC 42001 Crosswalk"/>
    <hyperlink ref="L370" r:id="rId366" display="ISO/IEC 42001 Crosswalk"/>
    <hyperlink ref="L371" r:id="rId367" display="ISO/IEC 42001 Crosswalk"/>
    <hyperlink ref="L372" r:id="rId368" display="ISO/IEC 42001 Crosswalk"/>
    <hyperlink ref="L373" r:id="rId369" display="ISO/IEC 42001 Crosswalk"/>
    <hyperlink ref="L374" r:id="rId370" display="ISO/IEC 42001 Crosswalk"/>
    <hyperlink ref="L375" r:id="rId371" display="ISO/IEC 42001 Crosswalk"/>
    <hyperlink ref="L376" r:id="rId372" display="ISO/IEC 42001 Crosswalk"/>
    <hyperlink ref="L377" r:id="rId373" display="ISO/IEC 42001 Crosswalk"/>
    <hyperlink ref="L378" r:id="rId374" display="ISO/IEC 42001 Crosswalk"/>
    <hyperlink ref="L379" r:id="rId375" display="ISO/IEC 42001 Crosswalk"/>
    <hyperlink ref="L380" r:id="rId376" display="ISO/IEC 42001 Crosswalk"/>
    <hyperlink ref="L381" r:id="rId377" display="ISO/IEC 42001 Crosswalk"/>
    <hyperlink ref="L382" r:id="rId378" display="ISO/IEC 42001 Crosswalk"/>
    <hyperlink ref="L383" r:id="rId379" display="ISO/IEC 42001 Crosswalk"/>
    <hyperlink ref="L384" r:id="rId380" display="ISO/IEC 42001 Crosswalk"/>
    <hyperlink ref="L385" r:id="rId381" display="ISO/IEC 42001 Crosswalk"/>
    <hyperlink ref="L386" r:id="rId382" display="ISO/IEC 42001 Crosswalk"/>
    <hyperlink ref="L387" r:id="rId383" display="ISO/IEC 42001 Crosswalk"/>
    <hyperlink ref="L388" r:id="rId384" display="ISO/IEC 42001 Crosswalk"/>
    <hyperlink ref="L389" r:id="rId385" display="ISO/IEC 42001 Crosswalk"/>
    <hyperlink ref="L390" r:id="rId386" display="ISO/IEC 42001 Crosswalk"/>
    <hyperlink ref="L391" r:id="rId387" display="ISO/IEC 42001 Crosswalk"/>
    <hyperlink ref="L392" r:id="rId388" display="ISO/IEC 42001 Crosswalk"/>
    <hyperlink ref="L393" r:id="rId389" display="ISO/IEC 42001 Crosswalk"/>
    <hyperlink ref="L394" r:id="rId390" display="ISO/IEC 42001 Crosswalk"/>
    <hyperlink ref="L395" r:id="rId391" display="ISO/IEC 42001 Crosswalk"/>
    <hyperlink ref="L396" r:id="rId392" display="ISO/IEC 42001 Crosswalk"/>
    <hyperlink ref="L397" r:id="rId393" display="ISO/IEC 42001 Crosswalk"/>
    <hyperlink ref="L398" r:id="rId394" display="ISO/IEC 42001 Crosswalk"/>
    <hyperlink ref="L399" r:id="rId395" display="ISO/IEC 42001 Crosswalk"/>
    <hyperlink ref="L400" r:id="rId396" display="ISO/IEC 42001 Crosswalk"/>
    <hyperlink ref="L401" r:id="rId397" display="ISO/IEC 42001 Crosswalk"/>
    <hyperlink ref="L402" r:id="rId398" display="ISO/IEC 42001 Crosswalk"/>
    <hyperlink ref="L403" r:id="rId399" display="ISO/IEC 27001 Crosswalk"/>
    <hyperlink ref="L404" r:id="rId400" display="ISO/IEC 27001 Crosswalk"/>
    <hyperlink ref="L405" r:id="rId401" display="ISO/IEC 27001 Crosswalk"/>
    <hyperlink ref="L406" r:id="rId402" display="ISO/IEC 27001 Crosswalk"/>
    <hyperlink ref="L407" r:id="rId403" display="ISO/IEC 27001 Crosswalk"/>
    <hyperlink ref="L408" r:id="rId404" display="ISO/IEC 27001 Crosswalk"/>
    <hyperlink ref="L409" r:id="rId405" display="ISO/IEC 27001 Crosswalk"/>
    <hyperlink ref="L410" r:id="rId406" display="ISO/IEC 27001 Crosswalk"/>
    <hyperlink ref="L411" r:id="rId407" display="ISO/IEC 27001 Crosswalk"/>
    <hyperlink ref="L412" r:id="rId408" display="ISO/IEC 27001 Crosswalk"/>
    <hyperlink ref="L413" r:id="rId409" display="ISO/IEC 27001 Crosswalk"/>
    <hyperlink ref="L414" r:id="rId410" display="ISO/IEC 27001 Crosswalk"/>
    <hyperlink ref="L415" r:id="rId411" display="ISO/IEC 27001 Crosswalk"/>
    <hyperlink ref="L416" r:id="rId412" display="ISO/IEC 27001 Crosswalk"/>
    <hyperlink ref="L417" r:id="rId413" display="ISO/IEC 27001 Crosswalk"/>
    <hyperlink ref="L418" r:id="rId414" display="ISO/IEC 27001 Crosswalk"/>
    <hyperlink ref="L419" r:id="rId415" display="ISO/IEC 27001 Crosswalk"/>
    <hyperlink ref="L420" r:id="rId416" display="ISO/IEC 27001 Crosswalk"/>
    <hyperlink ref="L421" r:id="rId417" display="ISO/IEC 27001 Crosswalk"/>
    <hyperlink ref="L422" r:id="rId418" display="ISO/IEC 27001 Crosswalk"/>
    <hyperlink ref="L423" r:id="rId419" display="ISO/IEC 27001 Crosswalk"/>
    <hyperlink ref="L424" r:id="rId420" display="ISO/IEC 27001 Crosswalk"/>
    <hyperlink ref="L425" r:id="rId421" display="ISO/IEC 27001 Crosswalk"/>
    <hyperlink ref="L426" r:id="rId422" display="ISO/IEC 27001 Crosswalk"/>
    <hyperlink ref="L427" r:id="rId423" display="ISO/IEC 27001 Crosswalk"/>
    <hyperlink ref="L428" r:id="rId424" display="ISO/IEC 27001 Crosswalk"/>
    <hyperlink ref="L429" r:id="rId425" display="ISO/IEC 27001 Crosswalk"/>
    <hyperlink ref="L430" r:id="rId426" display="ISO/IEC 27001 Crosswalk"/>
    <hyperlink ref="L431" r:id="rId427" display="ISO/IEC 27001 Crosswalk"/>
    <hyperlink ref="L432" r:id="rId428" display="ISO/IEC 27001 Crosswalk"/>
    <hyperlink ref="L433" r:id="rId429" display="ISO/IEC 27001 Crosswalk"/>
    <hyperlink ref="L434" r:id="rId430" display="ISO/IEC 27001 Crosswalk"/>
    <hyperlink ref="L435" r:id="rId431" display="ISO/IEC 27001 Crosswalk"/>
    <hyperlink ref="L436" r:id="rId432" display="ISO/IEC 27001 Crosswalk"/>
    <hyperlink ref="L437" r:id="rId433" display="ISO/IEC 27001 Crosswalk"/>
    <hyperlink ref="L438" r:id="rId434" display="ISO/IEC 27001 Crosswalk"/>
    <hyperlink ref="L439" r:id="rId435" display="ISO/IEC 27001 Crosswalk"/>
    <hyperlink ref="L440" r:id="rId436" display="ISO/IEC 27001 Crosswalk"/>
    <hyperlink ref="L441" r:id="rId437" display="ISO/IEC 27001 Crosswalk"/>
    <hyperlink ref="L442" r:id="rId438" display="ISO/IEC 27001 Crosswalk"/>
    <hyperlink ref="L443" r:id="rId439" display="ISO/IEC 27001 Crosswalk"/>
    <hyperlink ref="L444" r:id="rId440" display="ISO/IEC 27001 Crosswalk"/>
    <hyperlink ref="L445" r:id="rId441" display="ISO/IEC 27001 Crosswalk"/>
    <hyperlink ref="L446" r:id="rId442" display="ISO/IEC 27001 Crosswalk"/>
    <hyperlink ref="L447" r:id="rId443" display="ISO/IEC 27001 Crosswalk"/>
    <hyperlink ref="L448" r:id="rId444" display="ISO/IEC 27001 Crosswalk"/>
    <hyperlink ref="L449" r:id="rId445" display="ISO/IEC 27001 Crosswalk"/>
    <hyperlink ref="L450" r:id="rId446" display="ISO/IEC 27001 Crosswalk"/>
    <hyperlink ref="L451" r:id="rId447" display="ISO/IEC 27001 Crosswalk"/>
    <hyperlink ref="L452" r:id="rId448" display="ISO/IEC 27001 Crosswalk"/>
    <hyperlink ref="L453" r:id="rId449" display="ISO/IEC 27001 Crosswalk"/>
    <hyperlink ref="L454" r:id="rId450" display="ISO/IEC 27001 Crosswalk"/>
    <hyperlink ref="L455" r:id="rId451" display="ISO/IEC 27001 Crosswalk"/>
    <hyperlink ref="L456" r:id="rId452" display="ISO/IEC 27001 Crosswalk"/>
    <hyperlink ref="L457" r:id="rId453" display="ISO/IEC 27001 Crosswalk"/>
    <hyperlink ref="L458" r:id="rId454" display="ISO/IEC 27001 Crosswalk"/>
    <hyperlink ref="L459" r:id="rId455" display="ISO/IEC 27001 Crosswalk"/>
    <hyperlink ref="L460" r:id="rId456" display="ISO/IEC 27001 Crosswalk"/>
    <hyperlink ref="L461" r:id="rId457" display="ISO/IEC 27001 Crosswalk"/>
    <hyperlink ref="L462" r:id="rId458" display="ISO/IEC 27001 Crosswalk"/>
    <hyperlink ref="L463" r:id="rId459" display="ISO/IEC 27001 Crosswalk"/>
    <hyperlink ref="L464" r:id="rId460" display="ISO/IEC 27001 Crosswalk"/>
    <hyperlink ref="L465" r:id="rId461" display="ISO/IEC 27001 Crosswalk"/>
    <hyperlink ref="L466" r:id="rId462" display="ISO/IEC 27001 Crosswalk"/>
    <hyperlink ref="L467" r:id="rId463" display="ISO/IEC 27001 Crosswalk"/>
    <hyperlink ref="L468" r:id="rId464" display="ISO/IEC 27001 Crosswalk"/>
    <hyperlink ref="L469" r:id="rId465" display="ISO/IEC 27001 Crosswalk"/>
    <hyperlink ref="L470" r:id="rId466" display="ISO/IEC 27001 Crosswalk"/>
    <hyperlink ref="L471" r:id="rId467" display="ISO/IEC 27001 Crosswalk"/>
    <hyperlink ref="L472" r:id="rId468" display="ISO/IEC 27001 Crosswalk"/>
    <hyperlink ref="L473" r:id="rId469" display="ISO/IEC 27001 Crosswalk"/>
    <hyperlink ref="L474" r:id="rId470" display="ISO/IEC 27001 Crosswalk"/>
    <hyperlink ref="L475" r:id="rId471" display="ISO/IEC 27001 Crosswalk"/>
    <hyperlink ref="L476" r:id="rId472" display="ISO/IEC 27001 Crosswalk"/>
    <hyperlink ref="L477" r:id="rId473" display="ISO/IEC 27001 Crosswalk"/>
    <hyperlink ref="L478" r:id="rId474" display="ISO/IEC 27001 Crosswalk"/>
    <hyperlink ref="L479" r:id="rId475" display="ISO/IEC 27001 Crosswalk"/>
    <hyperlink ref="L480" r:id="rId476" display="ISO/IEC 27001 Crosswalk"/>
    <hyperlink ref="L481" r:id="rId477" display="ISO/IEC 27001 Crosswalk"/>
    <hyperlink ref="L482" r:id="rId478" display="ISO/IEC 27001 Crosswalk"/>
    <hyperlink ref="L483" r:id="rId479" display="ISO/IEC 27001 Crosswalk"/>
    <hyperlink ref="L484" r:id="rId480" display="ISO/IEC 27001 Crosswalk"/>
    <hyperlink ref="L485" r:id="rId481" display="ISO/IEC 27001 Crosswalk"/>
    <hyperlink ref="L486" r:id="rId482" display="ISO/IEC 27001 Crosswalk"/>
    <hyperlink ref="L487" r:id="rId483" display="ISO/IEC 27001 Crosswalk"/>
    <hyperlink ref="L488" r:id="rId484" display="ISO/IEC 27001 Crosswalk"/>
    <hyperlink ref="L489" r:id="rId485" display="ISO/IEC 27001 Crosswalk"/>
    <hyperlink ref="L490" r:id="rId486" display="ISO/IEC 27001 Crosswalk"/>
    <hyperlink ref="L491" r:id="rId487" display="ISO/IEC 27001 Crosswalk"/>
    <hyperlink ref="L492" r:id="rId488" display="ISO/IEC 27001 Crosswalk"/>
    <hyperlink ref="L493" r:id="rId489" display="ISO/IEC 27001 Crosswalk"/>
    <hyperlink ref="L494" r:id="rId490" display="ISO/IEC 27001 Crosswalk"/>
    <hyperlink ref="L495" r:id="rId491" display="ISO/IEC 27001 Crosswalk"/>
    <hyperlink ref="L496" r:id="rId492" display="ISO/IEC 27001 Crosswalk"/>
    <hyperlink ref="L497" r:id="rId493" display="ISO/IEC 27001 Crosswalk"/>
    <hyperlink ref="L498" r:id="rId494" display="ISO/IEC 27001 Crosswalk"/>
    <hyperlink ref="L499" r:id="rId495" display="ISO/IEC AI Standards Crosswalk"/>
    <hyperlink ref="L500" r:id="rId496" display="ISO/IEC AI Standards Crosswalk"/>
    <hyperlink ref="L501" r:id="rId497" display="ISO/IEC AI Standards Crosswalk"/>
    <hyperlink ref="L502" r:id="rId498" display="ISO/IEC AI Standards Crosswalk"/>
    <hyperlink ref="L503" r:id="rId499" display="ISO/IEC AI Standards Crosswalk"/>
    <hyperlink ref="L504" r:id="rId500" display="ISO/IEC AI Standards Crosswalk"/>
    <hyperlink ref="L505" r:id="rId501" display="ISO/IEC AI Standards Crosswalk"/>
    <hyperlink ref="L506" r:id="rId502" display="ISO/IEC AI Standards Crosswalk"/>
    <hyperlink ref="L507" r:id="rId503" display="ISO/IEC AI Standards Crosswalk"/>
    <hyperlink ref="L508" r:id="rId504" display="ISO/IEC AI Standards Crosswalk"/>
    <hyperlink ref="L509" r:id="rId505" display="ISO/IEC AI Standards Crosswalk"/>
    <hyperlink ref="L510" r:id="rId506" display="ISO/IEC AI Standards Crosswalk"/>
    <hyperlink ref="L511" r:id="rId507" display="ISO/IEC AI Standards Crosswalk"/>
    <hyperlink ref="L512" r:id="rId508" display="ISO/IEC AI Standards Crosswalk"/>
    <hyperlink ref="L513" r:id="rId509" display="ISO/IEC AI Standards Crosswalk"/>
    <hyperlink ref="L514" r:id="rId510" display="ISO/IEC AI Standards Crosswalk"/>
    <hyperlink ref="L515" r:id="rId511" display="ISO/IEC AI Standards Crosswalk"/>
    <hyperlink ref="L516" r:id="rId512" display="ISO/IEC AI Standards Crosswalk"/>
    <hyperlink ref="L517" r:id="rId513" display="ISO/IEC AI Standards Crosswalk"/>
    <hyperlink ref="L518" r:id="rId514" display="ISO/IEC AI Standards Crosswalk"/>
    <hyperlink ref="L519" r:id="rId515" display="ISO/IEC AI Standards Crosswalk"/>
    <hyperlink ref="L520" r:id="rId516" display="ISO/IEC AI Standards Crosswalk"/>
    <hyperlink ref="L521" r:id="rId517" display="ISO/IEC AI Standards Crosswalk"/>
    <hyperlink ref="L522" r:id="rId518" display="ISO/IEC AI Standards Crosswalk"/>
    <hyperlink ref="L523" r:id="rId519" display="ISO/IEC AI Standards Crosswalk"/>
    <hyperlink ref="L524" r:id="rId520" display="ISO/IEC AI Standards Crosswalk"/>
    <hyperlink ref="L525" r:id="rId521" display="ISO/IEC AI Standards Crosswalk"/>
    <hyperlink ref="L526" r:id="rId522" display="ISO/IEC AI Standards Crosswalk"/>
    <hyperlink ref="L527" r:id="rId523" display="ISO/IEC AI Standards Crosswalk"/>
    <hyperlink ref="L528" r:id="rId524" display="ISO/IEC AI Standards Crosswalk"/>
    <hyperlink ref="L529" r:id="rId525" display="ISO/IEC AI Standards Crosswalk"/>
    <hyperlink ref="L530" r:id="rId526" display="ISO/IEC AI Standards Crosswalk"/>
    <hyperlink ref="L531" r:id="rId527" display="ISO/IEC AI Standards Crosswalk"/>
    <hyperlink ref="L532" r:id="rId528" display="ISO/IEC AI Standards Crosswalk"/>
    <hyperlink ref="L533" r:id="rId529" display="ISO/IEC AI Standards Crosswalk"/>
    <hyperlink ref="L534" r:id="rId530" display="ISO/IEC AI Standards Crosswalk"/>
    <hyperlink ref="L535" r:id="rId531" display="ISO/IEC AI Standards Crosswalk"/>
    <hyperlink ref="L536" r:id="rId532" display="ISO/IEC AI Standards Crosswalk"/>
    <hyperlink ref="L537" r:id="rId533" display="ISO/IEC AI Standards Crosswalk"/>
    <hyperlink ref="L538" r:id="rId534" display="ISO/IEC AI Standards Crosswalk"/>
    <hyperlink ref="L539" r:id="rId535" display="ISO/IEC AI Standards Crosswalk"/>
    <hyperlink ref="L540" r:id="rId536" display="ISO/IEC AI Standards Crosswalk"/>
    <hyperlink ref="L541" r:id="rId537" display="ISO/IEC AI Standards Crosswalk"/>
    <hyperlink ref="L542" r:id="rId538" display="ISO/IEC AI Standards Crosswalk"/>
    <hyperlink ref="L543" r:id="rId539" display="ISO/IEC AI Standards Crosswalk"/>
    <hyperlink ref="L544" r:id="rId540" display="ISO/IEC AI Standards Crosswalk"/>
    <hyperlink ref="L545" r:id="rId541" display="ISO/IEC AI Standards Crosswalk"/>
    <hyperlink ref="L546" r:id="rId542" display="ISO/IEC AI Standards Crosswalk"/>
    <hyperlink ref="L547" r:id="rId543" display="ISO/IEC AI Standards Crosswalk"/>
    <hyperlink ref="L548" r:id="rId544" display="ISO/IEC AI Standards Crosswalk"/>
    <hyperlink ref="L549" r:id="rId545" display="ISO/IEC AI Standards Crosswalk"/>
    <hyperlink ref="L550" r:id="rId546" display="ISO/IEC AI Standards Crosswalk"/>
    <hyperlink ref="L551" r:id="rId547" display="ISO/IEC AI Standards Crosswalk"/>
    <hyperlink ref="L552" r:id="rId548" display="ISO/IEC AI Standards Crosswalk"/>
    <hyperlink ref="L553" r:id="rId549" display="ISO/IEC AI Standards Crosswalk"/>
    <hyperlink ref="L554" r:id="rId550" display="NIST CSF Crosswalk"/>
    <hyperlink ref="L555" r:id="rId551" display="NIST CSF Crosswalk"/>
    <hyperlink ref="L556" r:id="rId552" display="NIST CSF Crosswalk"/>
    <hyperlink ref="L557" r:id="rId553" display="NIST CSF Crosswalk"/>
    <hyperlink ref="L558" r:id="rId554" display="NIST CSF Crosswalk"/>
    <hyperlink ref="L559" r:id="rId555" display="NIST CSF Crosswalk"/>
    <hyperlink ref="L560" r:id="rId556" display="NIST CSF Crosswalk"/>
    <hyperlink ref="L561" r:id="rId557" display="NIST CSF Crosswalk"/>
    <hyperlink ref="L562" r:id="rId558" display="NIST CSF Crosswalk"/>
    <hyperlink ref="L563" r:id="rId559" display="NIST CSF Crosswalk"/>
    <hyperlink ref="L564" r:id="rId560" display="NIST CSF Crosswalk"/>
    <hyperlink ref="L565" r:id="rId561" display="NIST CSF Crosswalk"/>
    <hyperlink ref="L566" r:id="rId562" display="NIST CSF Crosswalk"/>
    <hyperlink ref="L567" r:id="rId563" display="NIST CSF Crosswalk"/>
    <hyperlink ref="L568" r:id="rId564" display="NIST CSF Crosswalk"/>
    <hyperlink ref="L569" r:id="rId565" display="NIST CSF Crosswalk"/>
    <hyperlink ref="L570" r:id="rId566" display="NIST CSF Crosswalk"/>
    <hyperlink ref="L571" r:id="rId567" display="NIST CSF Crosswalk"/>
    <hyperlink ref="L572" r:id="rId568" display="NIST CSF Crosswalk"/>
    <hyperlink ref="L573" r:id="rId569" display="NIST CSF Crosswalk"/>
    <hyperlink ref="L574" r:id="rId570" display="NIST CSF Crosswalk"/>
    <hyperlink ref="L575" r:id="rId571" display="NIST CSF Crosswalk"/>
    <hyperlink ref="L576" r:id="rId572" display="CIS Controls Crosswalk"/>
    <hyperlink ref="L577" r:id="rId573" display="CIS Controls Crosswalk"/>
    <hyperlink ref="L578" r:id="rId574" display="CIS Controls Crosswalk"/>
    <hyperlink ref="L579" r:id="rId575" display="CIS Controls Crosswalk"/>
    <hyperlink ref="L580" r:id="rId576" display="CIS Controls Crosswalk"/>
    <hyperlink ref="L581" r:id="rId577" display="CIS Controls Crosswalk"/>
    <hyperlink ref="L582" r:id="rId578" display="CIS Controls Crosswalk"/>
    <hyperlink ref="L583" r:id="rId579" display="CIS Controls Crosswalk"/>
    <hyperlink ref="L584" r:id="rId580" display="CIS Controls Crosswalk"/>
    <hyperlink ref="L585" r:id="rId581" display="CIS Controls Crosswalk"/>
    <hyperlink ref="L586" r:id="rId582" display="CIS Controls Crosswalk"/>
    <hyperlink ref="L587" r:id="rId583" display="CIS Controls Crosswalk"/>
    <hyperlink ref="L588" r:id="rId584" display="CIS Controls Crosswalk"/>
    <hyperlink ref="L589" r:id="rId585" display="CIS Controls Crosswalk"/>
    <hyperlink ref="L590" r:id="rId586" display="CIS Controls Crosswalk"/>
    <hyperlink ref="L591" r:id="rId587" display="CIS Controls Crosswalk"/>
    <hyperlink ref="L592" r:id="rId588" display="CIS Controls Crosswalk"/>
    <hyperlink ref="L593" r:id="rId589" display="CIS Controls Crosswalk"/>
    <hyperlink ref="L594" r:id="rId590" display="SOC 2 Crosswalk"/>
    <hyperlink ref="L595" r:id="rId591" display="SOC 2 Crosswalk"/>
    <hyperlink ref="L596" r:id="rId592" display="SOC 2 Crosswalk"/>
    <hyperlink ref="L597" r:id="rId593" display="SOC 2 Crosswalk"/>
    <hyperlink ref="L598" r:id="rId594" display="SOC 2 Crosswalk"/>
    <hyperlink ref="L599" r:id="rId595" display="SOC 2 Crosswalk"/>
    <hyperlink ref="L600" r:id="rId596" display="SOC 2 Crosswalk"/>
    <hyperlink ref="L601" r:id="rId597" display="SOC 2 Crosswalk"/>
    <hyperlink ref="L602" r:id="rId598" display="SOC 2 Crosswalk"/>
    <hyperlink ref="L603" r:id="rId599" display="SOC 2 Crosswalk"/>
    <hyperlink ref="L604" r:id="rId600" display="SOC 2 Crosswalk"/>
    <hyperlink ref="L605" r:id="rId601" display="SOC 2 Crosswalk"/>
    <hyperlink ref="L606" r:id="rId602" display="SOC 2 Crosswalk"/>
    <hyperlink ref="L607" r:id="rId603" display="SOC 2 Crosswalk"/>
    <hyperlink ref="L608" r:id="rId604" display="SOC 2 Crosswalk"/>
    <hyperlink ref="L609" r:id="rId605" display="SOC 2 Crosswalk"/>
    <hyperlink ref="L610" r:id="rId606" display="SOC 2 Crosswalk"/>
    <hyperlink ref="L611" r:id="rId607" display="SOC 2 Crosswalk"/>
    <hyperlink ref="L612" r:id="rId608" display="SOC 2 Crosswalk"/>
    <hyperlink ref="L613" r:id="rId609" display="SOC 2 Crosswalk"/>
    <hyperlink ref="L614" r:id="rId610" display="SOC 2 Crosswalk"/>
    <hyperlink ref="L615" r:id="rId611" display="SOC 2 Crosswalk"/>
    <hyperlink ref="L616" r:id="rId612" display="SOC 2 Crosswalk"/>
    <hyperlink ref="L617" r:id="rId613" display="SOC 2 Crosswalk"/>
    <hyperlink ref="L618" r:id="rId614" display="SOC 2 Crosswalk"/>
    <hyperlink ref="L619" r:id="rId615" display="SOC 2 Crosswalk"/>
    <hyperlink ref="L620" r:id="rId616" display="SOC 2 Crosswalk"/>
    <hyperlink ref="L621" r:id="rId617" display="SOC 2 Crosswalk"/>
    <hyperlink ref="L622" r:id="rId618" display="SOC 2 Crosswalk"/>
    <hyperlink ref="L623" r:id="rId619" display="SOC 2 Crosswalk"/>
    <hyperlink ref="L624" r:id="rId620" display="SOC 2 Crosswalk"/>
    <hyperlink ref="L625" r:id="rId621" display="SOC 2 Crosswalk"/>
    <hyperlink ref="L626" r:id="rId622" display="SOC 2 Crosswalk"/>
    <hyperlink ref="L627" r:id="rId623" display="SOC 2 Crosswalk"/>
    <hyperlink ref="L628" r:id="rId624" display="SOC 2 Crosswalk"/>
    <hyperlink ref="L629" r:id="rId625" display="SOC 2 Crosswalk"/>
    <hyperlink ref="L630" r:id="rId626" display="SOC 2 Crosswalk"/>
    <hyperlink ref="L631" r:id="rId627" display="SOC 2 Crosswalk"/>
    <hyperlink ref="L632" r:id="rId628" display="SOC 2 Crosswalk"/>
    <hyperlink ref="L633" r:id="rId629" display="SOC 2 Crosswalk"/>
    <hyperlink ref="L634" r:id="rId630" display="SOC 2 Crosswalk"/>
    <hyperlink ref="L635" r:id="rId631" display="SOC 2 Crosswalk"/>
    <hyperlink ref="L636" r:id="rId632" display="SOC 2 Crosswalk"/>
    <hyperlink ref="L637" r:id="rId633" display="SOC 2 Crosswalk"/>
    <hyperlink ref="L638" r:id="rId634" display="SOC 2 Crosswalk"/>
    <hyperlink ref="L639" r:id="rId635" display="SOC 2 Crosswalk"/>
    <hyperlink ref="L640" r:id="rId636" display="SOC 2 Crosswalk"/>
    <hyperlink ref="L641" r:id="rId637" display="SOC 2 Crosswalk"/>
    <hyperlink ref="L642" r:id="rId638" display="SOC 2 Crosswalk"/>
    <hyperlink ref="L643" r:id="rId639" display="SOC 2 Crosswalk"/>
    <hyperlink ref="L644" r:id="rId640" display="SOC 2 Crosswalk"/>
    <hyperlink ref="L645" r:id="rId641" display="SOC 2 Crosswalk"/>
    <hyperlink ref="L646" r:id="rId642" display="SOC 2 Crosswalk"/>
    <hyperlink ref="L647" r:id="rId643" display="SOC 2 Crosswalk"/>
    <hyperlink ref="L648" r:id="rId644" display="SOC 2 Crosswalk"/>
    <hyperlink ref="L649" r:id="rId645" display="SOC 2 Crosswalk"/>
    <hyperlink ref="L650" r:id="rId646" display="SOC 2 Crosswalk"/>
    <hyperlink ref="L651" r:id="rId647" display="SOC 2 Crosswalk"/>
    <hyperlink ref="L652" r:id="rId648" display="SOC 2 Crosswalk"/>
    <hyperlink ref="L653" r:id="rId649" display="SOC 2 Crosswalk"/>
    <hyperlink ref="L654" r:id="rId650" display="SOC 2 Crosswalk"/>
    <hyperlink ref="L655" r:id="rId651" display="NIST SSDF and SP 800-218A Crosswalk"/>
    <hyperlink ref="L656" r:id="rId652" display="NIST SSDF and SP 800-218A Crosswalk"/>
    <hyperlink ref="L657" r:id="rId653" display="NIST SSDF and SP 800-218A Crosswalk"/>
    <hyperlink ref="L658" r:id="rId654" display="NIST SSDF and SP 800-218A Crosswalk"/>
    <hyperlink ref="L659" r:id="rId655" display="NIST SSDF and SP 800-218A Crosswalk"/>
    <hyperlink ref="L660" r:id="rId656" display="NIST SSDF and SP 800-218A Crosswalk"/>
    <hyperlink ref="L661" r:id="rId657" display="NIST SSDF and SP 800-218A Crosswalk"/>
    <hyperlink ref="L662" r:id="rId658" display="NIST SSDF and SP 800-218A Crosswalk"/>
    <hyperlink ref="L663" r:id="rId659" display="NIST SSDF and SP 800-218A Crosswalk"/>
    <hyperlink ref="L664" r:id="rId660" display="NIST SSDF and SP 800-218A Crosswalk"/>
    <hyperlink ref="L665" r:id="rId661" display="NIST SSDF and SP 800-218A Crosswalk"/>
    <hyperlink ref="L666" r:id="rId662" display="NIST SSDF and SP 800-218A Crosswalk"/>
    <hyperlink ref="L667" r:id="rId663" display="NIST SSDF and SP 800-218A Crosswalk"/>
    <hyperlink ref="L668" r:id="rId664" display="NIST SSDF and SP 800-218A Crosswalk"/>
    <hyperlink ref="L669" r:id="rId665" display="NIST SSDF and SP 800-218A Crosswalk"/>
    <hyperlink ref="L670" r:id="rId666" display="NIST SSDF and SP 800-218A Crosswalk"/>
    <hyperlink ref="L671" r:id="rId667" display="NIST SSDF and SP 800-218A Crosswalk"/>
    <hyperlink ref="L672" r:id="rId668" display="NIST SSDF and SP 800-218A Crosswalk"/>
    <hyperlink ref="L673" r:id="rId669" display="NIST SSDF and SP 800-218A Crosswalk"/>
    <hyperlink ref="L674" r:id="rId670" display="NIST SSDF and SP 800-218A Crosswalk"/>
    <hyperlink ref="L675" r:id="rId671" display="PCI DSS AI Crosswalk"/>
    <hyperlink ref="L676" r:id="rId672" display="PCI DSS AI Crosswalk"/>
    <hyperlink ref="L677" r:id="rId673" display="PCI DSS AI Crosswalk"/>
    <hyperlink ref="L678" r:id="rId674" display="PCI DSS AI Crosswalk"/>
    <hyperlink ref="L679" r:id="rId675" display="PCI DSS AI Crosswalk"/>
    <hyperlink ref="L680" r:id="rId676" display="PCI DSS AI Crosswalk"/>
    <hyperlink ref="L681" r:id="rId677" display="PCI DSS AI Crosswalk"/>
    <hyperlink ref="L682" r:id="rId678" display="PCI DSS AI Crosswalk"/>
    <hyperlink ref="L683" r:id="rId679" display="PCI DSS AI Crosswalk"/>
    <hyperlink ref="L684" r:id="rId680" display="PCI DSS AI Crosswalk"/>
    <hyperlink ref="L685" r:id="rId681" display="PCI DSS AI Crosswalk"/>
    <hyperlink ref="L686" r:id="rId682" display="PCI DSS AI Crosswalk"/>
    <hyperlink ref="L687" r:id="rId683" display="PCI DSS AI Crosswalk"/>
    <hyperlink ref="L688" r:id="rId684" display="PCI DSS AI Crosswalk"/>
    <hyperlink ref="L689" r:id="rId685" display="PCI DSS AI Crosswalk"/>
    <hyperlink ref="L690" r:id="rId686" display="PCI DSS AI Crosswalk"/>
    <hyperlink ref="L691" r:id="rId687" display="PCI DSS AI Crosswalk"/>
    <hyperlink ref="L692" r:id="rId688" display="PCI DSS AI Crosswalk"/>
    <hyperlink ref="L693" r:id="rId689" display="PCI DSS AI Crosswalk"/>
    <hyperlink ref="L694" r:id="rId690" display="PCI DSS AI Crosswalk"/>
    <hyperlink ref="L695" r:id="rId691" display="PCI DSS AI Crosswalk"/>
    <hyperlink ref="L696" r:id="rId692" display="PCI DSS AI Crosswalk"/>
    <hyperlink ref="L697" r:id="rId693" display="PCI DSS AI Crosswalk"/>
    <hyperlink ref="L698" r:id="rId694" display="PCI DSS AI Crosswalk"/>
    <hyperlink ref="L699" r:id="rId695" display="PCI DSS AI Crosswalk"/>
    <hyperlink ref="L700" r:id="rId696" display="PCI DSS AI Crosswalk"/>
    <hyperlink ref="L701" r:id="rId697" display="PCI DSS AI Crosswalk"/>
    <hyperlink ref="L702" r:id="rId698" display="PCI DSS AI Crosswalk"/>
    <hyperlink ref="L703" r:id="rId699" display="PCI DSS AI Crosswalk"/>
    <hyperlink ref="L704" r:id="rId700" display="PCI DSS AI Crosswalk"/>
    <hyperlink ref="L705" r:id="rId701" display="PCI DSS AI Crosswalk"/>
    <hyperlink ref="L706" r:id="rId702" display="PCI DSS AI Crosswalk"/>
    <hyperlink ref="L707" r:id="rId703" display="PCI DSS AI Crosswalk"/>
    <hyperlink ref="L708" r:id="rId704" display="PCI DSS AI Crosswalk"/>
    <hyperlink ref="L709" r:id="rId705" display="PCI DSS AI Crosswalk"/>
    <hyperlink ref="L710" r:id="rId706" display="PCI DSS AI Crosswalk"/>
    <hyperlink ref="L711" r:id="rId707" display="PCI DSS AI Crosswalk"/>
    <hyperlink ref="L712" r:id="rId708" display="PCI DSS AI Crosswalk"/>
    <hyperlink ref="L713" r:id="rId709" display="PCI DSS AI Crosswalk"/>
    <hyperlink ref="L714" r:id="rId710" display="PCI DSS AI Crosswalk"/>
    <hyperlink ref="L715" r:id="rId711" display="PCI DSS AI Crosswalk"/>
    <hyperlink ref="L716" r:id="rId712" display="PCI DSS AI Crosswalk"/>
    <hyperlink ref="L717" r:id="rId713" display="PCI DSS AI Crosswalk"/>
    <hyperlink ref="L718" r:id="rId714" display="OECD AI Principles Crosswalk"/>
    <hyperlink ref="L719" r:id="rId715" display="OECD AI Principles Crosswalk"/>
    <hyperlink ref="L720" r:id="rId716" display="OECD AI Principles Crosswalk"/>
    <hyperlink ref="L721" r:id="rId717" display="OECD AI Principles Crosswalk"/>
    <hyperlink ref="L722" r:id="rId718" display="OECD AI Principles Crosswalk"/>
    <hyperlink ref="L723" r:id="rId719" display="Trustworthy AI and Ethics Standards Crosswalk"/>
    <hyperlink ref="L724" r:id="rId720" display="Trustworthy AI and Ethics Standards Crosswalk"/>
    <hyperlink ref="L725" r:id="rId721" display="Trustworthy AI and Ethics Standards Crosswalk"/>
    <hyperlink ref="L726" r:id="rId722" display="Trustworthy AI and Ethics Standards Crosswalk"/>
    <hyperlink ref="L727" r:id="rId723" display="Trustworthy AI and Ethics Standards Crosswalk"/>
    <hyperlink ref="L728" r:id="rId724" display="Trustworthy AI and Ethics Standards Crosswalk"/>
    <hyperlink ref="L729" r:id="rId725" display="Trustworthy AI and Ethics Standards Crosswalk"/>
    <hyperlink ref="L730" r:id="rId726" display="Trustworthy AI and Ethics Standards Crosswalk"/>
    <hyperlink ref="L731" r:id="rId727" display="Trustworthy AI and Ethics Standards Crosswalk"/>
    <hyperlink ref="L732" r:id="rId728" display="Trustworthy AI and Ethics Standards Crosswalk"/>
    <hyperlink ref="L733" r:id="rId729" display="Trustworthy AI and Ethics Standards Crosswalk"/>
    <hyperlink ref="L734" r:id="rId730" display="Trustworthy AI and Ethics Standards Crosswalk"/>
    <hyperlink ref="L735" r:id="rId731" display="Trustworthy AI and Ethics Standards Crosswalk"/>
    <hyperlink ref="L736" r:id="rId732" display="Trustworthy AI and Ethics Standards Crosswalk"/>
    <hyperlink ref="L737" r:id="rId733" display="Trustworthy AI and Ethics Standards Crosswalk"/>
    <hyperlink ref="L738" r:id="rId734" display="Trustworthy AI and Ethics Standards Crosswalk"/>
    <hyperlink ref="L739" r:id="rId735" display="Trustworthy AI and Ethics Standards Crosswalk"/>
    <hyperlink ref="L740" r:id="rId736" display="Trustworthy AI and Ethics Standards Crosswalk"/>
    <hyperlink ref="L741" r:id="rId737" display="Trustworthy AI and Ethics Standards Crosswalk"/>
    <hyperlink ref="L742" r:id="rId738" display="Trustworthy AI and Ethics Standards Crosswalk"/>
    <hyperlink ref="L743" r:id="rId739" display="Trustworthy AI and Ethics Standards Crosswalk"/>
    <hyperlink ref="L744" r:id="rId740" display="Trustworthy AI and Ethics Standards Crosswalk"/>
    <hyperlink ref="L745" r:id="rId741" display="International AI Instruments Crosswalk"/>
    <hyperlink ref="L746" r:id="rId742" display="International AI Instruments Crosswalk"/>
    <hyperlink ref="L747" r:id="rId743" display="International AI Instruments Crosswalk"/>
    <hyperlink ref="L748" r:id="rId744" display="International AI Instruments Crosswalk"/>
    <hyperlink ref="L749" r:id="rId745" display="International AI Instruments Crosswalk"/>
    <hyperlink ref="L750" r:id="rId746" display="International AI Instruments Crosswalk"/>
    <hyperlink ref="L751" r:id="rId747" display="International AI Instruments Crosswalk"/>
    <hyperlink ref="L752" r:id="rId748" display="International AI Instruments Crosswalk"/>
    <hyperlink ref="L753" r:id="rId749" display="International AI Instruments Crosswalk"/>
    <hyperlink ref="L754" r:id="rId750" display="International AI Instruments Crosswalk"/>
    <hyperlink ref="L755" r:id="rId751" display="International AI Instruments Crosswalk"/>
    <hyperlink ref="L756" r:id="rId752" display="International AI Instruments Crosswalk"/>
    <hyperlink ref="L757" r:id="rId753" display="International AI Instruments Crosswalk"/>
    <hyperlink ref="L758" r:id="rId754" display="International AI Instruments Crosswalk"/>
    <hyperlink ref="L759" r:id="rId755" display="International AI Instruments Crosswalk"/>
    <hyperlink ref="L760" r:id="rId756" display="International AI Instruments Crosswalk"/>
    <hyperlink ref="L761" r:id="rId757" display="International AI Instruments Crosswalk"/>
    <hyperlink ref="L762" r:id="rId758" display="International AI Instruments Crosswalk"/>
    <hyperlink ref="L763" r:id="rId759" display="International AI Instruments Crosswalk"/>
    <hyperlink ref="L764" r:id="rId760" display="International AI Instruments Crosswalk"/>
    <hyperlink ref="L765" r:id="rId761" display="International AI Instruments Crosswalk"/>
    <hyperlink ref="L766" r:id="rId762" display="International AI Instruments Crosswalk"/>
    <hyperlink ref="L767" r:id="rId763" display="International AI Instruments Crosswalk"/>
    <hyperlink ref="L768" r:id="rId764" display="Privacy Law Crosswalk"/>
    <hyperlink ref="L769" r:id="rId765" display="Privacy Law Crosswalk"/>
    <hyperlink ref="L770" r:id="rId766" display="Privacy Law Crosswalk"/>
    <hyperlink ref="L771" r:id="rId767" display="Privacy Law Crosswalk"/>
    <hyperlink ref="L772" r:id="rId768" display="Privacy Law Crosswalk"/>
    <hyperlink ref="L773" r:id="rId769" display="Privacy Law Crosswalk"/>
    <hyperlink ref="L774" r:id="rId770" display="Privacy Law Crosswalk"/>
    <hyperlink ref="L775" r:id="rId771" display="Privacy Law Crosswalk"/>
    <hyperlink ref="L776" r:id="rId772" display="Privacy Law Crosswalk"/>
    <hyperlink ref="L777" r:id="rId773" display="Privacy Law Crosswalk"/>
    <hyperlink ref="L778" r:id="rId774" display="Privacy Law Crosswalk"/>
    <hyperlink ref="L779" r:id="rId775" display="Privacy Law Crosswalk"/>
    <hyperlink ref="L780" r:id="rId776" display="Privacy Law Crosswalk"/>
    <hyperlink ref="L781" r:id="rId777" display="Privacy Law Crosswalk"/>
    <hyperlink ref="L782" r:id="rId778" display="GCC Regulatory Crosswalk"/>
    <hyperlink ref="L783" r:id="rId779" display="GCC Regulatory Crosswalk"/>
    <hyperlink ref="L784" r:id="rId780" display="GCC Regulatory Crosswalk"/>
    <hyperlink ref="L785" r:id="rId781" display="GCC Regulatory Crosswalk"/>
    <hyperlink ref="L786" r:id="rId782" display="GCC Regulatory Crosswalk"/>
    <hyperlink ref="L787" r:id="rId783" display="GCC Regulatory Crosswalk"/>
    <hyperlink ref="L788" r:id="rId784" display="GCC Regulatory Crosswalk"/>
    <hyperlink ref="L789" r:id="rId785" display="GCC Regulatory Crosswalk"/>
    <hyperlink ref="L790" r:id="rId786" display="GCC Regulatory Crosswalk"/>
    <hyperlink ref="L791" r:id="rId787" display="GCC Regulatory Crosswalk"/>
    <hyperlink ref="L792" r:id="rId788" display="GCC Regulatory Crosswalk"/>
    <hyperlink ref="L793" r:id="rId789" display="GCC Regulatory Crosswalk"/>
    <hyperlink ref="L794" r:id="rId790" display="GCC Regulatory Crosswalk"/>
    <hyperlink ref="L795" r:id="rId791" display="GCC Regulatory Crosswalk"/>
    <hyperlink ref="L796" r:id="rId792" display="GCC Regulatory Crosswalk"/>
    <hyperlink ref="L797" r:id="rId793" display="GCC Regulatory Crosswalk"/>
    <hyperlink ref="L798" r:id="rId794" display="GCC Regulatory Crosswalk"/>
    <hyperlink ref="L799" r:id="rId795" display="GCC Regulatory Crosswalk"/>
    <hyperlink ref="L800" r:id="rId796" display="GCC Regulatory Crosswalk"/>
    <hyperlink ref="L801" r:id="rId797" display="GCC Regulatory Crosswalk"/>
    <hyperlink ref="L802" r:id="rId798" display="GCC Regulatory Crosswalk"/>
    <hyperlink ref="L803" r:id="rId799" display="GCC Regulatory Crosswalk"/>
    <hyperlink ref="L804" r:id="rId800" display="GCC Regulatory Crosswalk"/>
    <hyperlink ref="L805" r:id="rId801" display="GCC Regulatory Crosswalk"/>
    <hyperlink ref="L806" r:id="rId802" display="GCC Regulatory Crosswalk"/>
    <hyperlink ref="L807" r:id="rId803" display="GCC Regulatory Crosswalk"/>
    <hyperlink ref="L808" r:id="rId804" display="GCC Regulatory Crosswalk"/>
    <hyperlink ref="L809" r:id="rId805" display="GCC Regulatory Crosswalk"/>
    <hyperlink ref="L810" r:id="rId806" display="GCC Regulatory Crosswalk"/>
    <hyperlink ref="L811" r:id="rId807" display="GCC Regulatory Crosswalk"/>
    <hyperlink ref="L812" r:id="rId808" display="GCC Regulatory Crosswalk"/>
    <hyperlink ref="L813" r:id="rId809" display="GCC Regulatory Crosswalk"/>
    <hyperlink ref="L814" r:id="rId810" display="GCC Regulatory Crosswalk"/>
    <hyperlink ref="L815" r:id="rId811" display="EU Regulatory Crosswalk"/>
    <hyperlink ref="L816" r:id="rId812" display="EU Regulatory Crosswalk"/>
    <hyperlink ref="L817" r:id="rId813" display="EU Regulatory Crosswalk"/>
    <hyperlink ref="L818" r:id="rId814" display="EU Regulatory Crosswalk"/>
    <hyperlink ref="L819" r:id="rId815" display="EU Regulatory Crosswalk"/>
    <hyperlink ref="L820" r:id="rId816" display="EU Regulatory Crosswalk"/>
    <hyperlink ref="L821" r:id="rId817" display="EU Regulatory Crosswalk"/>
    <hyperlink ref="L822" r:id="rId818" display="EU Regulatory Crosswalk"/>
    <hyperlink ref="L823" r:id="rId819" display="EU Regulatory Crosswalk"/>
    <hyperlink ref="L824" r:id="rId820" display="EU Regulatory Crosswalk"/>
    <hyperlink ref="L825" r:id="rId821" display="EU Regulatory Crosswalk"/>
    <hyperlink ref="L826" r:id="rId822" display="EU Regulatory Crosswalk"/>
    <hyperlink ref="L827" r:id="rId823" display="EU Regulatory Crosswalk"/>
    <hyperlink ref="L828" r:id="rId824" display="EU Regulatory Crosswalk"/>
    <hyperlink ref="L829" r:id="rId825" display="EU Regulatory Crosswalk"/>
    <hyperlink ref="L830" r:id="rId826" display="EU Regulatory Crosswalk"/>
    <hyperlink ref="L831" r:id="rId827" display="EU Regulatory Crosswalk"/>
    <hyperlink ref="L832" r:id="rId828" display="EU Regulatory Crosswalk"/>
    <hyperlink ref="L833" r:id="rId829" display="EU Regulatory Crosswalk"/>
    <hyperlink ref="L834" r:id="rId830" display="EU Regulatory Crosswalk"/>
    <hyperlink ref="L835" r:id="rId831" display="EU Regulatory Crosswalk"/>
    <hyperlink ref="L836" r:id="rId832" display="EU Regulatory Crosswalk"/>
    <hyperlink ref="L837" r:id="rId833" display="EU Regulatory Crosswalk"/>
    <hyperlink ref="L838" r:id="rId834" display="UK Regulatory Crosswalk"/>
    <hyperlink ref="L839" r:id="rId835" display="UK Regulatory Crosswalk"/>
    <hyperlink ref="L840" r:id="rId836" display="UK Regulatory Crosswalk"/>
    <hyperlink ref="L841" r:id="rId837" display="UK Regulatory Crosswalk"/>
    <hyperlink ref="L842" r:id="rId838" display="UK Regulatory Crosswalk"/>
    <hyperlink ref="L843" r:id="rId839" display="UK Regulatory Crosswalk"/>
    <hyperlink ref="L844" r:id="rId840" display="UK Regulatory Crosswalk"/>
    <hyperlink ref="L845" r:id="rId841" display="UK Regulatory Crosswalk"/>
    <hyperlink ref="L846" r:id="rId842" display="UK Regulatory Crosswalk"/>
    <hyperlink ref="L847" r:id="rId843" display="UK Regulatory Crosswalk"/>
    <hyperlink ref="L848" r:id="rId844" display="UK Regulatory Crosswalk"/>
    <hyperlink ref="L849" r:id="rId845" display="UK Regulatory Crosswalk"/>
    <hyperlink ref="L850" r:id="rId846" display="UK Regulatory Crosswalk"/>
    <hyperlink ref="L851" r:id="rId847" display="US Regulatory Crosswalk"/>
    <hyperlink ref="L852" r:id="rId848" display="US Regulatory Crosswalk"/>
    <hyperlink ref="L853" r:id="rId849" display="US Regulatory Crosswalk"/>
    <hyperlink ref="L854" r:id="rId850" display="US Regulatory Crosswalk"/>
    <hyperlink ref="L855" r:id="rId851" display="US Regulatory Crosswalk"/>
    <hyperlink ref="L856" r:id="rId852" display="US Regulatory Crosswalk"/>
    <hyperlink ref="L857" r:id="rId853" display="US Regulatory Crosswalk"/>
    <hyperlink ref="L858" r:id="rId854" display="US Regulatory Crosswalk"/>
    <hyperlink ref="L859" r:id="rId855" display="US Regulatory Crosswalk"/>
    <hyperlink ref="L860" r:id="rId856" display="US Regulatory Crosswalk"/>
    <hyperlink ref="L861" r:id="rId857" display="US Regulatory Crosswalk"/>
    <hyperlink ref="L862" r:id="rId858" display="US Regulatory Crosswalk"/>
    <hyperlink ref="L863" r:id="rId859" display="US Regulatory Crosswalk"/>
    <hyperlink ref="L864" r:id="rId860" display="US Regulatory Crosswalk"/>
    <hyperlink ref="L865" r:id="rId861" display="US Regulatory Crosswalk"/>
    <hyperlink ref="L866" r:id="rId862" display="US Regulatory Crosswalk"/>
    <hyperlink ref="L867" r:id="rId863" display="US Regulatory Crosswalk"/>
    <hyperlink ref="L868" r:id="rId864" display="Australia Regulatory Crosswalk"/>
    <hyperlink ref="L869" r:id="rId865" display="Australia Regulatory Crosswalk"/>
    <hyperlink ref="L870" r:id="rId866" display="Australia Regulatory Crosswalk"/>
    <hyperlink ref="L871" r:id="rId867" display="Australia Regulatory Crosswalk"/>
    <hyperlink ref="L872" r:id="rId868" display="Australia Regulatory Crosswalk"/>
    <hyperlink ref="L873" r:id="rId869" display="Australia Regulatory Crosswalk"/>
    <hyperlink ref="L874" r:id="rId870" display="Australia Regulatory Crosswalk"/>
    <hyperlink ref="L875" r:id="rId871" display="Australia Regulatory Crosswalk"/>
    <hyperlink ref="L876" r:id="rId872" display="Australia Regulatory Crosswalk"/>
    <hyperlink ref="L877" r:id="rId873" display="Australia Regulatory Crosswalk"/>
    <hyperlink ref="L878" r:id="rId874" display="Brazil Regulatory Crosswalk"/>
    <hyperlink ref="L879" r:id="rId875" display="Brazil Regulatory Crosswalk"/>
    <hyperlink ref="L880" r:id="rId876" display="Brazil Regulatory Crosswalk"/>
    <hyperlink ref="L881" r:id="rId877" display="Brazil Regulatory Crosswalk"/>
    <hyperlink ref="L882" r:id="rId878" display="Canada Regulatory Crosswalk"/>
    <hyperlink ref="L883" r:id="rId879" display="Canada Regulatory Crosswalk"/>
    <hyperlink ref="L884" r:id="rId880" display="Canada Regulatory Crosswalk"/>
    <hyperlink ref="L885" r:id="rId881" display="Canada Regulatory Crosswalk"/>
    <hyperlink ref="L886" r:id="rId882" display="Canada Regulatory Crosswalk"/>
    <hyperlink ref="L887" r:id="rId883" display="Canada Regulatory Crosswalk"/>
    <hyperlink ref="L888" r:id="rId884" display="Canada Regulatory Crosswalk"/>
    <hyperlink ref="L889" r:id="rId885" display="Canada Regulatory Crosswalk"/>
    <hyperlink ref="L890" r:id="rId886" display="China Regulatory Crosswalk"/>
    <hyperlink ref="L891" r:id="rId887" display="China Regulatory Crosswalk"/>
    <hyperlink ref="L892" r:id="rId888" display="China Regulatory Crosswalk"/>
    <hyperlink ref="L893" r:id="rId889" display="China Regulatory Crosswalk"/>
    <hyperlink ref="L894" r:id="rId890" display="China Regulatory Crosswalk"/>
    <hyperlink ref="L895" r:id="rId891" display="China Regulatory Crosswalk"/>
    <hyperlink ref="L896" r:id="rId892" display="China Regulatory Crosswalk"/>
    <hyperlink ref="L897" r:id="rId893" display="China Regulatory Crosswalk"/>
    <hyperlink ref="L898" r:id="rId894" display="China Regulatory Crosswalk"/>
    <hyperlink ref="L899" r:id="rId895" display="India Regulatory Crosswalk"/>
    <hyperlink ref="L900" r:id="rId896" display="India Regulatory Crosswalk"/>
    <hyperlink ref="L901" r:id="rId897" display="India Regulatory Crosswalk"/>
    <hyperlink ref="L902" r:id="rId898" display="India Regulatory Crosswalk"/>
    <hyperlink ref="L903" r:id="rId899" display="India Regulatory Crosswalk"/>
    <hyperlink ref="L904" r:id="rId900" display="India Regulatory Crosswalk"/>
    <hyperlink ref="L905" r:id="rId901" display="India Regulatory Crosswalk"/>
    <hyperlink ref="L906" r:id="rId902" display="India Regulatory Crosswalk"/>
    <hyperlink ref="L907" r:id="rId903" display="India Regulatory Crosswalk"/>
    <hyperlink ref="L908" r:id="rId904" display="India Regulatory Crosswalk"/>
    <hyperlink ref="L909" r:id="rId905" display="India Regulatory Crosswalk"/>
    <hyperlink ref="L910" r:id="rId906" display="India Regulatory Crosswalk"/>
    <hyperlink ref="L911" r:id="rId907" display="India Regulatory Crosswalk"/>
    <hyperlink ref="L912" r:id="rId908" display="Japan Regulatory Crosswalk"/>
    <hyperlink ref="L913" r:id="rId909" display="Japan Regulatory Crosswalk"/>
    <hyperlink ref="L914" r:id="rId910" display="Japan Regulatory Crosswalk"/>
    <hyperlink ref="L915" r:id="rId911" display="Japan Regulatory Crosswalk"/>
    <hyperlink ref="L916" r:id="rId912" display="Japan Regulatory Crosswalk"/>
    <hyperlink ref="L917" r:id="rId913" display="Japan Regulatory Crosswalk"/>
    <hyperlink ref="L918" r:id="rId914" display="Singapore Regulatory Crosswalk"/>
    <hyperlink ref="L919" r:id="rId915" display="Singapore Regulatory Crosswalk"/>
    <hyperlink ref="L920" r:id="rId916" display="Singapore Regulatory Crosswalk"/>
    <hyperlink ref="L921" r:id="rId917" display="Singapore Regulatory Crosswalk"/>
    <hyperlink ref="L922" r:id="rId918" display="Singapore Regulatory Crosswalk"/>
    <hyperlink ref="L923" r:id="rId919" display="Singapore Regulatory Crosswalk"/>
    <hyperlink ref="L924" r:id="rId920" display="Singapore Regulatory Crosswalk"/>
    <hyperlink ref="L925" r:id="rId921" display="Singapore Regulatory Crosswalk"/>
    <hyperlink ref="L926" r:id="rId922" display="Singapore Regulatory Crosswalk"/>
    <hyperlink ref="L927" r:id="rId923" display="Singapore Regulatory Crosswalk"/>
    <hyperlink ref="L928" r:id="rId924" display="Singapore Regulatory Crosswalk"/>
    <hyperlink ref="L929" r:id="rId925" display="Singapore Regulatory Crosswalk"/>
    <hyperlink ref="L930" r:id="rId926" display="Singapore Regulatory Crosswalk"/>
    <hyperlink ref="L931" r:id="rId927" display="Singapore Regulatory Crosswalk"/>
    <hyperlink ref="L932" r:id="rId928" display="Singapore Regulatory Crosswalk"/>
    <hyperlink ref="L933" r:id="rId929" display="Singapore Regulatory Crosswalk"/>
    <hyperlink ref="L934" r:id="rId930" display="Singapore Regulatory Crosswalk"/>
    <hyperlink ref="L935" r:id="rId931" display="Singapore Regulatory Crosswalk"/>
    <hyperlink ref="L936" r:id="rId932" display="Singapore Regulatory Crosswalk"/>
    <hyperlink ref="L937" r:id="rId933" display="Singapore Regulatory Crosswalk"/>
    <hyperlink ref="L938" r:id="rId934" display="Singapore Regulatory Crosswalk"/>
    <hyperlink ref="L939" r:id="rId935" display="Singapore Regulatory Crosswalk"/>
    <hyperlink ref="L940" r:id="rId936" display="Singapore Regulatory Crosswalk"/>
    <hyperlink ref="L941" r:id="rId937" display="Singapore Regulatory Crosswalk"/>
    <hyperlink ref="L942" r:id="rId938" display="Singapore Regulatory Crosswalk"/>
    <hyperlink ref="L943" r:id="rId939" display="Singapore Regulatory Crosswalk"/>
    <hyperlink ref="L944" r:id="rId940" display="Singapore Regulatory Crosswalk"/>
    <hyperlink ref="L945" r:id="rId941" display="Singapore Regulatory Crosswalk"/>
    <hyperlink ref="L946" r:id="rId942" display="Singapore Regulatory Crosswalk"/>
    <hyperlink ref="L947" r:id="rId943" display="Singapore Regulatory Crosswalk"/>
    <hyperlink ref="L948" r:id="rId944" display="Singapore Regulatory Crosswalk"/>
    <hyperlink ref="L949" r:id="rId945" display="Singapore Regulatory Crosswalk"/>
    <hyperlink ref="L950" r:id="rId946" display="Singapore Regulatory Crosswalk"/>
    <hyperlink ref="L951" r:id="rId947" display="Singapore Regulatory Crosswalk"/>
    <hyperlink ref="L952" r:id="rId948" display="South Korea Regulatory Crosswalk"/>
    <hyperlink ref="L953" r:id="rId949" display="South Korea Regulatory Crosswalk"/>
    <hyperlink ref="L954" r:id="rId950" display="South Korea Regulatory Crosswalk"/>
    <hyperlink ref="L955" r:id="rId951" display="South Korea Regulatory Crosswalk"/>
    <hyperlink ref="L956" r:id="rId952" display="South Korea Regulatory Crosswalk"/>
    <hyperlink ref="L957" r:id="rId953" display="South Korea Regulatory Crosswalk"/>
    <hyperlink ref="L958" r:id="rId954" display="South Korea Regulatory Crosswalk"/>
    <hyperlink ref="L959" r:id="rId955" display="South Korea Regulatory Crosswalk"/>
    <hyperlink ref="L960" r:id="rId956" display="Hong Kong Regulatory Crosswalk"/>
    <hyperlink ref="L961" r:id="rId957" display="Hong Kong Regulatory Crosswalk"/>
    <hyperlink ref="L962" r:id="rId958" display="Hong Kong Regulatory Crosswalk"/>
    <hyperlink ref="L963" r:id="rId959" display="Hong Kong Regulatory Crosswalk"/>
    <hyperlink ref="L964" r:id="rId960" display="Hong Kong Regulatory Crosswalk"/>
    <hyperlink ref="L965" r:id="rId961" display="Hong Kong Regulatory Crosswalk"/>
    <hyperlink ref="L966" r:id="rId962" display="Hong Kong Regulatory Crosswalk"/>
    <hyperlink ref="L967" r:id="rId963" display="Hong Kong Regulatory Crosswalk"/>
    <hyperlink ref="L968" r:id="rId964" display="Hong Kong Regulatory Crosswalk"/>
    <hyperlink ref="L969" r:id="rId965" display="Hong Kong Regulatory Crosswalk"/>
    <hyperlink ref="L970" r:id="rId966" display="Hong Kong Regulatory Crosswalk"/>
    <hyperlink ref="L971" r:id="rId967" display="Hong Kong Regulatory Crosswalk"/>
    <hyperlink ref="L972" r:id="rId968" display="Hong Kong Regulatory Crosswalk"/>
    <hyperlink ref="L973" r:id="rId969" display="Hong Kong Regulatory Crosswalk"/>
    <hyperlink ref="L974" r:id="rId970" display="Hong Kong Regulatory Crosswalk"/>
    <hyperlink ref="L975" r:id="rId971" display="Hong Kong Regulatory Crosswalk"/>
    <hyperlink ref="L976" r:id="rId972" display="Hong Kong Regulatory Crosswalk"/>
    <hyperlink ref="L977" r:id="rId973" display="Hong Kong Regulatory Crosswalk"/>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97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8C"/>
    <pageSetUpPr fitToPage="false"/>
  </sheetPr>
  <dimension ref="A1:BB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6"/>
    <col collapsed="false" customWidth="true" hidden="false" outlineLevel="0" max="3" min="3" style="0" width="10"/>
    <col collapsed="false" customWidth="true" hidden="false" outlineLevel="0" max="54" min="4" style="0" width="18"/>
  </cols>
  <sheetData>
    <row r="1" customFormat="false" ht="30" hidden="false" customHeight="true" outlineLevel="0" collapsed="false">
      <c r="A1" s="62" t="s">
        <v>42</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row>
    <row r="2" customFormat="false" ht="15" hidden="false" customHeight="false" outlineLevel="0" collapsed="false">
      <c r="A2" s="3" t="s">
        <v>3161</v>
      </c>
    </row>
    <row r="4" customFormat="false" ht="15" hidden="false" customHeight="false" outlineLevel="0" collapsed="false">
      <c r="D4" s="64" t="s">
        <v>570</v>
      </c>
      <c r="E4" s="64"/>
      <c r="F4" s="64"/>
      <c r="G4" s="64"/>
      <c r="H4" s="64"/>
      <c r="I4" s="64"/>
      <c r="J4" s="65" t="s">
        <v>577</v>
      </c>
      <c r="K4" s="65"/>
      <c r="L4" s="65"/>
      <c r="M4" s="65"/>
      <c r="N4" s="65"/>
      <c r="O4" s="65"/>
      <c r="P4" s="66" t="s">
        <v>584</v>
      </c>
      <c r="Q4" s="66"/>
      <c r="R4" s="66"/>
      <c r="S4" s="66"/>
      <c r="T4" s="66"/>
      <c r="U4" s="66"/>
      <c r="V4" s="66"/>
      <c r="W4" s="66"/>
      <c r="X4" s="66"/>
      <c r="Y4" s="66"/>
      <c r="Z4" s="66"/>
      <c r="AA4" s="66"/>
      <c r="AB4" s="66"/>
      <c r="AC4" s="67" t="s">
        <v>598</v>
      </c>
      <c r="AD4" s="67"/>
      <c r="AE4" s="67"/>
      <c r="AF4" s="67"/>
      <c r="AG4" s="67"/>
      <c r="AH4" s="67"/>
      <c r="AI4" s="68" t="s">
        <v>605</v>
      </c>
      <c r="AJ4" s="68"/>
      <c r="AK4" s="68"/>
      <c r="AL4" s="68"/>
      <c r="AM4" s="69" t="s">
        <v>610</v>
      </c>
      <c r="AN4" s="69"/>
      <c r="AO4" s="70" t="s">
        <v>613</v>
      </c>
      <c r="AP4" s="70"/>
      <c r="AQ4" s="70"/>
      <c r="AR4" s="70"/>
      <c r="AS4" s="70"/>
      <c r="AT4" s="70"/>
      <c r="AU4" s="70"/>
      <c r="AV4" s="70"/>
      <c r="AW4" s="70"/>
      <c r="AX4" s="70"/>
      <c r="AY4" s="70"/>
      <c r="AZ4" s="70"/>
      <c r="BA4" s="70"/>
      <c r="BB4" s="70"/>
    </row>
    <row r="5" customFormat="false" ht="60" hidden="false" customHeight="true" outlineLevel="0" collapsed="false">
      <c r="A5" s="71" t="s">
        <v>132</v>
      </c>
      <c r="B5" s="71" t="s">
        <v>133</v>
      </c>
      <c r="C5" s="71" t="s">
        <v>135</v>
      </c>
      <c r="D5" s="71" t="s">
        <v>569</v>
      </c>
      <c r="E5" s="71" t="s">
        <v>571</v>
      </c>
      <c r="F5" s="71" t="s">
        <v>572</v>
      </c>
      <c r="G5" s="71" t="s">
        <v>573</v>
      </c>
      <c r="H5" s="71" t="s">
        <v>574</v>
      </c>
      <c r="I5" s="71" t="s">
        <v>575</v>
      </c>
      <c r="J5" s="71" t="s">
        <v>576</v>
      </c>
      <c r="K5" s="71" t="s">
        <v>578</v>
      </c>
      <c r="L5" s="71" t="s">
        <v>579</v>
      </c>
      <c r="M5" s="71" t="s">
        <v>580</v>
      </c>
      <c r="N5" s="71" t="s">
        <v>581</v>
      </c>
      <c r="O5" s="71" t="s">
        <v>582</v>
      </c>
      <c r="P5" s="71" t="s">
        <v>583</v>
      </c>
      <c r="Q5" s="71" t="s">
        <v>585</v>
      </c>
      <c r="R5" s="71" t="s">
        <v>586</v>
      </c>
      <c r="S5" s="71" t="s">
        <v>587</v>
      </c>
      <c r="T5" s="71" t="s">
        <v>588</v>
      </c>
      <c r="U5" s="71" t="s">
        <v>589</v>
      </c>
      <c r="V5" s="71" t="s">
        <v>590</v>
      </c>
      <c r="W5" s="71" t="s">
        <v>591</v>
      </c>
      <c r="X5" s="71" t="s">
        <v>592</v>
      </c>
      <c r="Y5" s="71" t="s">
        <v>593</v>
      </c>
      <c r="Z5" s="71" t="s">
        <v>594</v>
      </c>
      <c r="AA5" s="71" t="s">
        <v>595</v>
      </c>
      <c r="AB5" s="71" t="s">
        <v>596</v>
      </c>
      <c r="AC5" s="71" t="s">
        <v>597</v>
      </c>
      <c r="AD5" s="71" t="s">
        <v>599</v>
      </c>
      <c r="AE5" s="71" t="s">
        <v>600</v>
      </c>
      <c r="AF5" s="71" t="s">
        <v>601</v>
      </c>
      <c r="AG5" s="71" t="s">
        <v>602</v>
      </c>
      <c r="AH5" s="71" t="s">
        <v>603</v>
      </c>
      <c r="AI5" s="71" t="s">
        <v>604</v>
      </c>
      <c r="AJ5" s="71" t="s">
        <v>606</v>
      </c>
      <c r="AK5" s="71" t="s">
        <v>607</v>
      </c>
      <c r="AL5" s="71" t="s">
        <v>608</v>
      </c>
      <c r="AM5" s="71" t="s">
        <v>609</v>
      </c>
      <c r="AN5" s="71" t="s">
        <v>611</v>
      </c>
      <c r="AO5" s="71" t="s">
        <v>612</v>
      </c>
      <c r="AP5" s="71" t="s">
        <v>614</v>
      </c>
      <c r="AQ5" s="71" t="s">
        <v>615</v>
      </c>
      <c r="AR5" s="71" t="s">
        <v>616</v>
      </c>
      <c r="AS5" s="71" t="s">
        <v>617</v>
      </c>
      <c r="AT5" s="71" t="s">
        <v>618</v>
      </c>
      <c r="AU5" s="71" t="s">
        <v>619</v>
      </c>
      <c r="AV5" s="71" t="s">
        <v>620</v>
      </c>
      <c r="AW5" s="71" t="s">
        <v>621</v>
      </c>
      <c r="AX5" s="71" t="s">
        <v>622</v>
      </c>
      <c r="AY5" s="71" t="s">
        <v>623</v>
      </c>
      <c r="AZ5" s="71" t="s">
        <v>624</v>
      </c>
      <c r="BA5" s="71" t="s">
        <v>625</v>
      </c>
      <c r="BB5" s="71" t="s">
        <v>626</v>
      </c>
    </row>
    <row r="6" customFormat="false" ht="35.05" hidden="false" customHeight="false" outlineLevel="0" collapsed="false">
      <c r="A6" s="36" t="s">
        <v>159</v>
      </c>
      <c r="B6" s="6" t="s">
        <v>160</v>
      </c>
      <c r="C6" s="37" t="s">
        <v>108</v>
      </c>
      <c r="D6" s="72"/>
      <c r="E6" s="72"/>
      <c r="F6" s="6" t="s">
        <v>3162</v>
      </c>
      <c r="G6" s="6" t="s">
        <v>3163</v>
      </c>
      <c r="H6" s="72"/>
      <c r="I6" s="6" t="s">
        <v>1180</v>
      </c>
      <c r="J6" s="6" t="s">
        <v>1206</v>
      </c>
      <c r="K6" s="72"/>
      <c r="L6" s="6" t="s">
        <v>1284</v>
      </c>
      <c r="M6" s="72"/>
      <c r="N6" s="72"/>
      <c r="O6" s="72"/>
      <c r="P6" s="6" t="s">
        <v>1588</v>
      </c>
      <c r="Q6" s="72"/>
      <c r="R6" s="6" t="s">
        <v>3164</v>
      </c>
      <c r="S6" s="72"/>
      <c r="T6" s="72"/>
      <c r="U6" s="72"/>
      <c r="V6" s="72"/>
      <c r="W6" s="72"/>
      <c r="X6" s="72"/>
      <c r="Y6" s="72"/>
      <c r="Z6" s="72"/>
      <c r="AA6" s="72"/>
      <c r="AB6" s="72"/>
      <c r="AC6" s="6" t="s">
        <v>3165</v>
      </c>
      <c r="AD6" s="6" t="s">
        <v>3166</v>
      </c>
      <c r="AE6" s="6" t="s">
        <v>3167</v>
      </c>
      <c r="AF6" s="72"/>
      <c r="AG6" s="72"/>
      <c r="AH6" s="6" t="s">
        <v>2452</v>
      </c>
      <c r="AI6" s="72"/>
      <c r="AJ6" s="72"/>
      <c r="AK6" s="72"/>
      <c r="AL6" s="72"/>
      <c r="AM6" s="72"/>
      <c r="AN6" s="72"/>
      <c r="AO6" s="72"/>
      <c r="AP6" s="72"/>
      <c r="AQ6" s="72"/>
      <c r="AR6" s="72"/>
      <c r="AS6" s="72"/>
      <c r="AT6" s="72"/>
      <c r="AU6" s="72"/>
      <c r="AV6" s="72"/>
      <c r="AW6" s="72"/>
      <c r="AX6" s="72"/>
      <c r="AY6" s="72"/>
      <c r="AZ6" s="6" t="s">
        <v>3168</v>
      </c>
      <c r="BA6" s="72"/>
      <c r="BB6" s="6" t="s">
        <v>3145</v>
      </c>
    </row>
    <row r="7" customFormat="false" ht="46.25" hidden="false" customHeight="false" outlineLevel="0" collapsed="false">
      <c r="A7" s="36" t="s">
        <v>172</v>
      </c>
      <c r="B7" s="6" t="s">
        <v>173</v>
      </c>
      <c r="C7" s="37" t="s">
        <v>108</v>
      </c>
      <c r="D7" s="6" t="s">
        <v>3169</v>
      </c>
      <c r="E7" s="6" t="s">
        <v>727</v>
      </c>
      <c r="F7" s="6" t="s">
        <v>3170</v>
      </c>
      <c r="G7" s="6" t="s">
        <v>3171</v>
      </c>
      <c r="H7" s="6" t="s">
        <v>1142</v>
      </c>
      <c r="I7" s="72"/>
      <c r="J7" s="6" t="s">
        <v>1202</v>
      </c>
      <c r="K7" s="72"/>
      <c r="L7" s="72"/>
      <c r="M7" s="6" t="s">
        <v>1342</v>
      </c>
      <c r="N7" s="6" t="s">
        <v>1451</v>
      </c>
      <c r="O7" s="6" t="s">
        <v>1523</v>
      </c>
      <c r="P7" s="6" t="s">
        <v>1668</v>
      </c>
      <c r="Q7" s="72"/>
      <c r="R7" s="6" t="s">
        <v>3172</v>
      </c>
      <c r="S7" s="72"/>
      <c r="T7" s="72"/>
      <c r="U7" s="72"/>
      <c r="V7" s="72"/>
      <c r="W7" s="72"/>
      <c r="X7" s="72"/>
      <c r="Y7" s="72"/>
      <c r="Z7" s="72"/>
      <c r="AA7" s="72"/>
      <c r="AB7" s="72"/>
      <c r="AC7" s="6" t="s">
        <v>3173</v>
      </c>
      <c r="AD7" s="6" t="s">
        <v>2102</v>
      </c>
      <c r="AE7" s="6" t="s">
        <v>3174</v>
      </c>
      <c r="AF7" s="72"/>
      <c r="AG7" s="6" t="s">
        <v>2358</v>
      </c>
      <c r="AH7" s="72"/>
      <c r="AI7" s="72"/>
      <c r="AJ7" s="72"/>
      <c r="AK7" s="72"/>
      <c r="AL7" s="72"/>
      <c r="AM7" s="72"/>
      <c r="AN7" s="72"/>
      <c r="AO7" s="72"/>
      <c r="AP7" s="6" t="s">
        <v>2639</v>
      </c>
      <c r="AQ7" s="72"/>
      <c r="AR7" s="72"/>
      <c r="AS7" s="72"/>
      <c r="AT7" s="72"/>
      <c r="AU7" s="72"/>
      <c r="AV7" s="72"/>
      <c r="AW7" s="72"/>
      <c r="AX7" s="72"/>
      <c r="AY7" s="72"/>
      <c r="AZ7" s="72"/>
      <c r="BA7" s="72"/>
      <c r="BB7" s="72"/>
    </row>
    <row r="8" customFormat="false" ht="46.25" hidden="false" customHeight="false" outlineLevel="0" collapsed="false">
      <c r="A8" s="36" t="s">
        <v>182</v>
      </c>
      <c r="B8" s="6" t="s">
        <v>183</v>
      </c>
      <c r="C8" s="37" t="s">
        <v>109</v>
      </c>
      <c r="D8" s="6" t="s">
        <v>3169</v>
      </c>
      <c r="E8" s="6" t="s">
        <v>727</v>
      </c>
      <c r="F8" s="6" t="s">
        <v>3170</v>
      </c>
      <c r="G8" s="6" t="s">
        <v>3171</v>
      </c>
      <c r="H8" s="72"/>
      <c r="I8" s="72"/>
      <c r="J8" s="6" t="s">
        <v>1202</v>
      </c>
      <c r="K8" s="72"/>
      <c r="L8" s="72"/>
      <c r="M8" s="6" t="s">
        <v>1342</v>
      </c>
      <c r="N8" s="6" t="s">
        <v>1451</v>
      </c>
      <c r="O8" s="72"/>
      <c r="P8" s="6" t="s">
        <v>1668</v>
      </c>
      <c r="Q8" s="72"/>
      <c r="R8" s="6" t="s">
        <v>3175</v>
      </c>
      <c r="S8" s="72"/>
      <c r="T8" s="72"/>
      <c r="U8" s="72"/>
      <c r="V8" s="72"/>
      <c r="W8" s="72"/>
      <c r="X8" s="72"/>
      <c r="Y8" s="72"/>
      <c r="Z8" s="72"/>
      <c r="AA8" s="72"/>
      <c r="AB8" s="72"/>
      <c r="AC8" s="6" t="s">
        <v>2070</v>
      </c>
      <c r="AD8" s="6" t="s">
        <v>3176</v>
      </c>
      <c r="AE8" s="6" t="s">
        <v>3174</v>
      </c>
      <c r="AF8" s="72"/>
      <c r="AG8" s="72"/>
      <c r="AH8" s="72"/>
      <c r="AI8" s="72"/>
      <c r="AJ8" s="72"/>
      <c r="AK8" s="72"/>
      <c r="AL8" s="72"/>
      <c r="AM8" s="72"/>
      <c r="AN8" s="72"/>
      <c r="AO8" s="72"/>
      <c r="AP8" s="72"/>
      <c r="AQ8" s="72"/>
      <c r="AR8" s="72"/>
      <c r="AS8" s="72"/>
      <c r="AT8" s="72"/>
      <c r="AU8" s="72"/>
      <c r="AV8" s="72"/>
      <c r="AW8" s="72"/>
      <c r="AX8" s="72"/>
      <c r="AY8" s="72"/>
      <c r="AZ8" s="72"/>
      <c r="BA8" s="72"/>
      <c r="BB8" s="72"/>
    </row>
    <row r="9" customFormat="false" ht="68.65" hidden="false" customHeight="false" outlineLevel="0" collapsed="false">
      <c r="A9" s="36" t="s">
        <v>190</v>
      </c>
      <c r="B9" s="6" t="s">
        <v>191</v>
      </c>
      <c r="C9" s="37" t="s">
        <v>109</v>
      </c>
      <c r="D9" s="6" t="s">
        <v>3177</v>
      </c>
      <c r="E9" s="72"/>
      <c r="F9" s="6" t="s">
        <v>3178</v>
      </c>
      <c r="G9" s="6" t="s">
        <v>3179</v>
      </c>
      <c r="H9" s="72"/>
      <c r="I9" s="72"/>
      <c r="J9" s="6" t="s">
        <v>3180</v>
      </c>
      <c r="K9" s="72"/>
      <c r="L9" s="72"/>
      <c r="M9" s="6" t="s">
        <v>3181</v>
      </c>
      <c r="N9" s="72"/>
      <c r="O9" s="72"/>
      <c r="P9" s="6" t="s">
        <v>3182</v>
      </c>
      <c r="Q9" s="72"/>
      <c r="R9" s="6" t="s">
        <v>3183</v>
      </c>
      <c r="S9" s="72"/>
      <c r="T9" s="72"/>
      <c r="U9" s="72"/>
      <c r="V9" s="72"/>
      <c r="W9" s="72"/>
      <c r="X9" s="72"/>
      <c r="Y9" s="72"/>
      <c r="Z9" s="72"/>
      <c r="AA9" s="72"/>
      <c r="AB9" s="72"/>
      <c r="AC9" s="6" t="s">
        <v>3184</v>
      </c>
      <c r="AD9" s="6" t="s">
        <v>3185</v>
      </c>
      <c r="AE9" s="6" t="s">
        <v>3186</v>
      </c>
      <c r="AF9" s="6" t="s">
        <v>3187</v>
      </c>
      <c r="AG9" s="6" t="s">
        <v>2331</v>
      </c>
      <c r="AH9" s="6" t="s">
        <v>2374</v>
      </c>
      <c r="AI9" s="72"/>
      <c r="AJ9" s="72"/>
      <c r="AK9" s="72"/>
      <c r="AL9" s="72"/>
      <c r="AM9" s="72"/>
      <c r="AN9" s="72"/>
      <c r="AO9" s="72"/>
      <c r="AP9" s="72"/>
      <c r="AQ9" s="72"/>
      <c r="AR9" s="72"/>
      <c r="AS9" s="72"/>
      <c r="AT9" s="72"/>
      <c r="AU9" s="72"/>
      <c r="AV9" s="72"/>
      <c r="AW9" s="72"/>
      <c r="AX9" s="72"/>
      <c r="AY9" s="72"/>
      <c r="AZ9" s="72"/>
      <c r="BA9" s="72"/>
      <c r="BB9" s="72"/>
    </row>
    <row r="10" customFormat="false" ht="79.85" hidden="false" customHeight="false" outlineLevel="0" collapsed="false">
      <c r="A10" s="36" t="s">
        <v>199</v>
      </c>
      <c r="B10" s="6" t="s">
        <v>200</v>
      </c>
      <c r="C10" s="37" t="s">
        <v>108</v>
      </c>
      <c r="D10" s="6" t="s">
        <v>3188</v>
      </c>
      <c r="E10" s="6" t="s">
        <v>3189</v>
      </c>
      <c r="F10" s="6" t="s">
        <v>3190</v>
      </c>
      <c r="G10" s="6" t="s">
        <v>3191</v>
      </c>
      <c r="H10" s="6" t="s">
        <v>1152</v>
      </c>
      <c r="I10" s="72"/>
      <c r="J10" s="6" t="s">
        <v>3192</v>
      </c>
      <c r="K10" s="6" t="s">
        <v>1236</v>
      </c>
      <c r="L10" s="6" t="s">
        <v>1275</v>
      </c>
      <c r="M10" s="6" t="s">
        <v>3193</v>
      </c>
      <c r="N10" s="6" t="s">
        <v>3194</v>
      </c>
      <c r="O10" s="6" t="s">
        <v>3195</v>
      </c>
      <c r="P10" s="6" t="s">
        <v>3196</v>
      </c>
      <c r="Q10" s="72"/>
      <c r="R10" s="6" t="s">
        <v>3197</v>
      </c>
      <c r="S10" s="72"/>
      <c r="T10" s="72"/>
      <c r="U10" s="72"/>
      <c r="V10" s="72"/>
      <c r="W10" s="72"/>
      <c r="X10" s="72"/>
      <c r="Y10" s="72"/>
      <c r="Z10" s="6" t="s">
        <v>2004</v>
      </c>
      <c r="AA10" s="72"/>
      <c r="AB10" s="72"/>
      <c r="AC10" s="6" t="s">
        <v>3198</v>
      </c>
      <c r="AD10" s="6" t="s">
        <v>3199</v>
      </c>
      <c r="AE10" s="6" t="s">
        <v>3200</v>
      </c>
      <c r="AF10" s="6" t="s">
        <v>2313</v>
      </c>
      <c r="AG10" s="72"/>
      <c r="AH10" s="6" t="s">
        <v>2378</v>
      </c>
      <c r="AI10" s="6" t="s">
        <v>2467</v>
      </c>
      <c r="AJ10" s="6" t="s">
        <v>2481</v>
      </c>
      <c r="AK10" s="6" t="s">
        <v>2499</v>
      </c>
      <c r="AL10" s="72"/>
      <c r="AM10" s="72"/>
      <c r="AN10" s="72"/>
      <c r="AO10" s="72"/>
      <c r="AP10" s="6" t="s">
        <v>3201</v>
      </c>
      <c r="AQ10" s="6" t="s">
        <v>3202</v>
      </c>
      <c r="AR10" s="6" t="s">
        <v>2777</v>
      </c>
      <c r="AS10" s="6" t="s">
        <v>2794</v>
      </c>
      <c r="AT10" s="6" t="s">
        <v>2865</v>
      </c>
      <c r="AU10" s="72"/>
      <c r="AV10" s="72"/>
      <c r="AW10" s="6" t="s">
        <v>2925</v>
      </c>
      <c r="AX10" s="6" t="s">
        <v>3203</v>
      </c>
      <c r="AY10" s="72"/>
      <c r="AZ10" s="6" t="s">
        <v>3204</v>
      </c>
      <c r="BA10" s="6" t="s">
        <v>3096</v>
      </c>
      <c r="BB10" s="6" t="s">
        <v>3205</v>
      </c>
    </row>
    <row r="11" customFormat="false" ht="135.8" hidden="false" customHeight="false" outlineLevel="0" collapsed="false">
      <c r="A11" s="36" t="s">
        <v>209</v>
      </c>
      <c r="B11" s="6" t="s">
        <v>210</v>
      </c>
      <c r="C11" s="37" t="s">
        <v>108</v>
      </c>
      <c r="D11" s="6" t="s">
        <v>3206</v>
      </c>
      <c r="E11" s="6" t="s">
        <v>796</v>
      </c>
      <c r="F11" s="6" t="s">
        <v>3207</v>
      </c>
      <c r="G11" s="6" t="s">
        <v>3208</v>
      </c>
      <c r="H11" s="72"/>
      <c r="I11" s="6" t="s">
        <v>3209</v>
      </c>
      <c r="J11" s="6" t="s">
        <v>1218</v>
      </c>
      <c r="K11" s="6" t="s">
        <v>3210</v>
      </c>
      <c r="L11" s="72"/>
      <c r="M11" s="6" t="s">
        <v>1370</v>
      </c>
      <c r="N11" s="6" t="s">
        <v>3211</v>
      </c>
      <c r="O11" s="6" t="s">
        <v>1498</v>
      </c>
      <c r="P11" s="6" t="s">
        <v>3212</v>
      </c>
      <c r="Q11" s="72"/>
      <c r="R11" s="6" t="s">
        <v>3213</v>
      </c>
      <c r="S11" s="72"/>
      <c r="T11" s="72"/>
      <c r="U11" s="72"/>
      <c r="V11" s="72"/>
      <c r="W11" s="72"/>
      <c r="X11" s="72"/>
      <c r="Y11" s="72"/>
      <c r="Z11" s="72"/>
      <c r="AA11" s="72"/>
      <c r="AB11" s="72"/>
      <c r="AC11" s="6" t="s">
        <v>3214</v>
      </c>
      <c r="AD11" s="6" t="s">
        <v>3215</v>
      </c>
      <c r="AE11" s="6" t="s">
        <v>3216</v>
      </c>
      <c r="AF11" s="72"/>
      <c r="AG11" s="72"/>
      <c r="AH11" s="6" t="s">
        <v>2440</v>
      </c>
      <c r="AI11" s="72"/>
      <c r="AJ11" s="72"/>
      <c r="AK11" s="72"/>
      <c r="AL11" s="72"/>
      <c r="AM11" s="72"/>
      <c r="AN11" s="72"/>
      <c r="AO11" s="72"/>
      <c r="AP11" s="72"/>
      <c r="AQ11" s="72"/>
      <c r="AR11" s="72"/>
      <c r="AS11" s="72"/>
      <c r="AT11" s="72"/>
      <c r="AU11" s="72"/>
      <c r="AV11" s="72"/>
      <c r="AW11" s="72"/>
      <c r="AX11" s="72"/>
      <c r="AY11" s="72"/>
      <c r="AZ11" s="6" t="s">
        <v>3217</v>
      </c>
      <c r="BA11" s="72"/>
      <c r="BB11" s="6" t="s">
        <v>3143</v>
      </c>
    </row>
    <row r="12" customFormat="false" ht="46.25" hidden="false" customHeight="false" outlineLevel="0" collapsed="false">
      <c r="A12" s="36" t="s">
        <v>219</v>
      </c>
      <c r="B12" s="6" t="s">
        <v>220</v>
      </c>
      <c r="C12" s="37" t="s">
        <v>109</v>
      </c>
      <c r="D12" s="6" t="s">
        <v>680</v>
      </c>
      <c r="E12" s="72"/>
      <c r="F12" s="6" t="s">
        <v>3218</v>
      </c>
      <c r="G12" s="6" t="s">
        <v>3219</v>
      </c>
      <c r="H12" s="72"/>
      <c r="I12" s="6" t="s">
        <v>1188</v>
      </c>
      <c r="J12" s="72"/>
      <c r="K12" s="72"/>
      <c r="L12" s="72"/>
      <c r="M12" s="72"/>
      <c r="N12" s="72"/>
      <c r="O12" s="72"/>
      <c r="P12" s="6" t="s">
        <v>3220</v>
      </c>
      <c r="Q12" s="72"/>
      <c r="R12" s="6" t="s">
        <v>3221</v>
      </c>
      <c r="S12" s="72"/>
      <c r="T12" s="72"/>
      <c r="U12" s="6" t="s">
        <v>1934</v>
      </c>
      <c r="V12" s="72"/>
      <c r="W12" s="72"/>
      <c r="X12" s="72"/>
      <c r="Y12" s="72"/>
      <c r="Z12" s="72"/>
      <c r="AA12" s="72"/>
      <c r="AB12" s="72"/>
      <c r="AC12" s="6" t="s">
        <v>3222</v>
      </c>
      <c r="AD12" s="6" t="s">
        <v>3223</v>
      </c>
      <c r="AE12" s="6" t="s">
        <v>3224</v>
      </c>
      <c r="AF12" s="72"/>
      <c r="AG12" s="72"/>
      <c r="AH12" s="6" t="s">
        <v>2428</v>
      </c>
      <c r="AI12" s="72"/>
      <c r="AJ12" s="72"/>
      <c r="AK12" s="72"/>
      <c r="AL12" s="72"/>
      <c r="AM12" s="72"/>
      <c r="AN12" s="72"/>
      <c r="AO12" s="6" t="s">
        <v>3225</v>
      </c>
      <c r="AP12" s="6" t="s">
        <v>3226</v>
      </c>
      <c r="AQ12" s="6" t="s">
        <v>3227</v>
      </c>
      <c r="AR12" s="6" t="s">
        <v>2756</v>
      </c>
      <c r="AS12" s="72"/>
      <c r="AT12" s="72"/>
      <c r="AU12" s="6" t="s">
        <v>2874</v>
      </c>
      <c r="AV12" s="6" t="s">
        <v>2885</v>
      </c>
      <c r="AW12" s="6" t="s">
        <v>2925</v>
      </c>
      <c r="AX12" s="6" t="s">
        <v>3228</v>
      </c>
      <c r="AY12" s="6" t="s">
        <v>2981</v>
      </c>
      <c r="AZ12" s="6" t="s">
        <v>3073</v>
      </c>
      <c r="BA12" s="6" t="s">
        <v>3104</v>
      </c>
      <c r="BB12" s="72"/>
    </row>
    <row r="13" customFormat="false" ht="158.2" hidden="false" customHeight="false" outlineLevel="0" collapsed="false">
      <c r="A13" s="36" t="s">
        <v>230</v>
      </c>
      <c r="B13" s="6" t="s">
        <v>231</v>
      </c>
      <c r="C13" s="37" t="s">
        <v>108</v>
      </c>
      <c r="D13" s="6" t="s">
        <v>662</v>
      </c>
      <c r="E13" s="6" t="s">
        <v>3229</v>
      </c>
      <c r="F13" s="6" t="s">
        <v>3230</v>
      </c>
      <c r="G13" s="6" t="s">
        <v>3231</v>
      </c>
      <c r="H13" s="72"/>
      <c r="I13" s="6" t="s">
        <v>3232</v>
      </c>
      <c r="J13" s="72"/>
      <c r="K13" s="72"/>
      <c r="L13" s="6" t="s">
        <v>1282</v>
      </c>
      <c r="M13" s="72"/>
      <c r="N13" s="6" t="s">
        <v>1461</v>
      </c>
      <c r="O13" s="72"/>
      <c r="P13" s="6" t="s">
        <v>1642</v>
      </c>
      <c r="Q13" s="72"/>
      <c r="R13" s="6" t="s">
        <v>3233</v>
      </c>
      <c r="S13" s="72"/>
      <c r="T13" s="72"/>
      <c r="U13" s="72"/>
      <c r="V13" s="72"/>
      <c r="W13" s="72"/>
      <c r="X13" s="72"/>
      <c r="Y13" s="72"/>
      <c r="Z13" s="72"/>
      <c r="AA13" s="72"/>
      <c r="AB13" s="72"/>
      <c r="AC13" s="6" t="s">
        <v>3234</v>
      </c>
      <c r="AD13" s="6" t="s">
        <v>2117</v>
      </c>
      <c r="AE13" s="6" t="s">
        <v>2216</v>
      </c>
      <c r="AF13" s="6" t="s">
        <v>2289</v>
      </c>
      <c r="AG13" s="6" t="s">
        <v>2350</v>
      </c>
      <c r="AH13" s="72"/>
      <c r="AI13" s="6" t="s">
        <v>2471</v>
      </c>
      <c r="AJ13" s="6" t="s">
        <v>3235</v>
      </c>
      <c r="AK13" s="72"/>
      <c r="AL13" s="6" t="s">
        <v>2508</v>
      </c>
      <c r="AM13" s="6" t="s">
        <v>2530</v>
      </c>
      <c r="AN13" s="72"/>
      <c r="AO13" s="72"/>
      <c r="AP13" s="6" t="s">
        <v>3236</v>
      </c>
      <c r="AQ13" s="6" t="s">
        <v>3237</v>
      </c>
      <c r="AR13" s="6" t="s">
        <v>2777</v>
      </c>
      <c r="AS13" s="72"/>
      <c r="AT13" s="72"/>
      <c r="AU13" s="72"/>
      <c r="AV13" s="72"/>
      <c r="AW13" s="72"/>
      <c r="AX13" s="72"/>
      <c r="AY13" s="72"/>
      <c r="AZ13" s="6" t="s">
        <v>3238</v>
      </c>
      <c r="BA13" s="72"/>
      <c r="BB13" s="6" t="s">
        <v>3153</v>
      </c>
    </row>
    <row r="14" customFormat="false" ht="102.2" hidden="false" customHeight="false" outlineLevel="0" collapsed="false">
      <c r="A14" s="36" t="s">
        <v>239</v>
      </c>
      <c r="B14" s="6" t="s">
        <v>240</v>
      </c>
      <c r="C14" s="37" t="s">
        <v>109</v>
      </c>
      <c r="D14" s="72"/>
      <c r="E14" s="6" t="s">
        <v>732</v>
      </c>
      <c r="F14" s="6" t="s">
        <v>3239</v>
      </c>
      <c r="G14" s="6" t="s">
        <v>3240</v>
      </c>
      <c r="H14" s="72"/>
      <c r="I14" s="72"/>
      <c r="J14" s="72"/>
      <c r="K14" s="72"/>
      <c r="L14" s="6" t="s">
        <v>1282</v>
      </c>
      <c r="M14" s="72"/>
      <c r="N14" s="6" t="s">
        <v>1461</v>
      </c>
      <c r="O14" s="72"/>
      <c r="P14" s="6" t="s">
        <v>3241</v>
      </c>
      <c r="Q14" s="72"/>
      <c r="R14" s="6" t="s">
        <v>3242</v>
      </c>
      <c r="S14" s="72"/>
      <c r="T14" s="72"/>
      <c r="U14" s="72"/>
      <c r="V14" s="72"/>
      <c r="W14" s="72"/>
      <c r="X14" s="72"/>
      <c r="Y14" s="6" t="s">
        <v>1987</v>
      </c>
      <c r="Z14" s="72"/>
      <c r="AA14" s="72"/>
      <c r="AB14" s="72"/>
      <c r="AC14" s="6" t="s">
        <v>3243</v>
      </c>
      <c r="AD14" s="6" t="s">
        <v>3244</v>
      </c>
      <c r="AE14" s="6" t="s">
        <v>3245</v>
      </c>
      <c r="AF14" s="6" t="s">
        <v>3246</v>
      </c>
      <c r="AG14" s="72"/>
      <c r="AH14" s="72"/>
      <c r="AI14" s="72"/>
      <c r="AJ14" s="72"/>
      <c r="AK14" s="72"/>
      <c r="AL14" s="72"/>
      <c r="AM14" s="72"/>
      <c r="AN14" s="72"/>
      <c r="AO14" s="72"/>
      <c r="AP14" s="6" t="s">
        <v>2690</v>
      </c>
      <c r="AQ14" s="72"/>
      <c r="AR14" s="72"/>
      <c r="AS14" s="72"/>
      <c r="AT14" s="72"/>
      <c r="AU14" s="72"/>
      <c r="AV14" s="72"/>
      <c r="AW14" s="72"/>
      <c r="AX14" s="72"/>
      <c r="AY14" s="72"/>
      <c r="AZ14" s="6" t="s">
        <v>3247</v>
      </c>
      <c r="BA14" s="72"/>
      <c r="BB14" s="6" t="s">
        <v>3153</v>
      </c>
    </row>
    <row r="15" customFormat="false" ht="57.45" hidden="false" customHeight="false" outlineLevel="0" collapsed="false">
      <c r="A15" s="36" t="s">
        <v>248</v>
      </c>
      <c r="B15" s="6" t="s">
        <v>249</v>
      </c>
      <c r="C15" s="37" t="s">
        <v>109</v>
      </c>
      <c r="D15" s="6" t="s">
        <v>680</v>
      </c>
      <c r="E15" s="72"/>
      <c r="F15" s="6" t="s">
        <v>3248</v>
      </c>
      <c r="G15" s="6" t="s">
        <v>3249</v>
      </c>
      <c r="H15" s="72"/>
      <c r="I15" s="72"/>
      <c r="J15" s="6" t="s">
        <v>1202</v>
      </c>
      <c r="K15" s="72"/>
      <c r="L15" s="72"/>
      <c r="M15" s="6" t="s">
        <v>1342</v>
      </c>
      <c r="N15" s="6" t="s">
        <v>1451</v>
      </c>
      <c r="O15" s="72"/>
      <c r="P15" s="6" t="s">
        <v>3250</v>
      </c>
      <c r="Q15" s="72"/>
      <c r="R15" s="6" t="s">
        <v>3251</v>
      </c>
      <c r="S15" s="72"/>
      <c r="T15" s="72"/>
      <c r="U15" s="72"/>
      <c r="V15" s="72"/>
      <c r="W15" s="72"/>
      <c r="X15" s="72"/>
      <c r="Y15" s="72"/>
      <c r="Z15" s="72"/>
      <c r="AA15" s="72"/>
      <c r="AB15" s="72"/>
      <c r="AC15" s="6" t="s">
        <v>3252</v>
      </c>
      <c r="AD15" s="6" t="s">
        <v>3176</v>
      </c>
      <c r="AE15" s="6" t="s">
        <v>3253</v>
      </c>
      <c r="AF15" s="72"/>
      <c r="AG15" s="72"/>
      <c r="AH15" s="6" t="s">
        <v>2452</v>
      </c>
      <c r="AI15" s="72"/>
      <c r="AJ15" s="72"/>
      <c r="AK15" s="72"/>
      <c r="AL15" s="72"/>
      <c r="AM15" s="72"/>
      <c r="AN15" s="72"/>
      <c r="AO15" s="72"/>
      <c r="AP15" s="6" t="s">
        <v>2639</v>
      </c>
      <c r="AQ15" s="72"/>
      <c r="AR15" s="72"/>
      <c r="AS15" s="72"/>
      <c r="AT15" s="72"/>
      <c r="AU15" s="72"/>
      <c r="AV15" s="72"/>
      <c r="AW15" s="72"/>
      <c r="AX15" s="72"/>
      <c r="AY15" s="72"/>
      <c r="AZ15" s="6" t="s">
        <v>3254</v>
      </c>
      <c r="BA15" s="72"/>
      <c r="BB15" s="72"/>
    </row>
    <row r="16" customFormat="false" ht="180.55" hidden="false" customHeight="false" outlineLevel="0" collapsed="false">
      <c r="A16" s="36" t="s">
        <v>255</v>
      </c>
      <c r="B16" s="6" t="s">
        <v>256</v>
      </c>
      <c r="C16" s="37" t="s">
        <v>108</v>
      </c>
      <c r="D16" s="6" t="s">
        <v>3255</v>
      </c>
      <c r="E16" s="72"/>
      <c r="F16" s="6" t="s">
        <v>3256</v>
      </c>
      <c r="G16" s="6" t="s">
        <v>3257</v>
      </c>
      <c r="H16" s="72"/>
      <c r="I16" s="6" t="s">
        <v>3258</v>
      </c>
      <c r="J16" s="72"/>
      <c r="K16" s="72"/>
      <c r="L16" s="72"/>
      <c r="M16" s="72"/>
      <c r="N16" s="72"/>
      <c r="O16" s="72"/>
      <c r="P16" s="6" t="s">
        <v>3259</v>
      </c>
      <c r="Q16" s="72"/>
      <c r="R16" s="6" t="s">
        <v>3260</v>
      </c>
      <c r="S16" s="72"/>
      <c r="T16" s="72"/>
      <c r="U16" s="6" t="s">
        <v>1926</v>
      </c>
      <c r="V16" s="6" t="s">
        <v>3261</v>
      </c>
      <c r="W16" s="6" t="s">
        <v>1960</v>
      </c>
      <c r="X16" s="72"/>
      <c r="Y16" s="6" t="s">
        <v>1993</v>
      </c>
      <c r="Z16" s="72"/>
      <c r="AA16" s="72"/>
      <c r="AB16" s="72"/>
      <c r="AC16" s="6" t="s">
        <v>3262</v>
      </c>
      <c r="AD16" s="6" t="s">
        <v>3263</v>
      </c>
      <c r="AE16" s="6" t="s">
        <v>3264</v>
      </c>
      <c r="AF16" s="72"/>
      <c r="AG16" s="6" t="s">
        <v>3265</v>
      </c>
      <c r="AH16" s="6" t="s">
        <v>3266</v>
      </c>
      <c r="AI16" s="6" t="s">
        <v>3267</v>
      </c>
      <c r="AJ16" s="72"/>
      <c r="AK16" s="72"/>
      <c r="AL16" s="72"/>
      <c r="AM16" s="72"/>
      <c r="AN16" s="72"/>
      <c r="AO16" s="72"/>
      <c r="AP16" s="6" t="s">
        <v>3268</v>
      </c>
      <c r="AQ16" s="6" t="s">
        <v>3269</v>
      </c>
      <c r="AR16" s="6" t="s">
        <v>3270</v>
      </c>
      <c r="AS16" s="6" t="s">
        <v>2802</v>
      </c>
      <c r="AT16" s="72"/>
      <c r="AU16" s="6" t="s">
        <v>2869</v>
      </c>
      <c r="AV16" s="6" t="s">
        <v>3271</v>
      </c>
      <c r="AW16" s="6" t="s">
        <v>2911</v>
      </c>
      <c r="AX16" s="6" t="s">
        <v>3272</v>
      </c>
      <c r="AY16" s="72"/>
      <c r="AZ16" s="6" t="s">
        <v>3273</v>
      </c>
      <c r="BA16" s="72"/>
      <c r="BB16" s="6" t="s">
        <v>3274</v>
      </c>
    </row>
    <row r="17" customFormat="false" ht="292.5" hidden="false" customHeight="false" outlineLevel="0" collapsed="false">
      <c r="A17" s="36" t="s">
        <v>263</v>
      </c>
      <c r="B17" s="6" t="s">
        <v>264</v>
      </c>
      <c r="C17" s="37" t="s">
        <v>108</v>
      </c>
      <c r="D17" s="6" t="s">
        <v>3275</v>
      </c>
      <c r="E17" s="72"/>
      <c r="F17" s="6" t="s">
        <v>3276</v>
      </c>
      <c r="G17" s="6" t="s">
        <v>3277</v>
      </c>
      <c r="H17" s="6" t="s">
        <v>1155</v>
      </c>
      <c r="I17" s="6" t="s">
        <v>3278</v>
      </c>
      <c r="J17" s="72"/>
      <c r="K17" s="72"/>
      <c r="L17" s="72"/>
      <c r="M17" s="72"/>
      <c r="N17" s="6" t="s">
        <v>1445</v>
      </c>
      <c r="O17" s="72"/>
      <c r="P17" s="6" t="s">
        <v>3279</v>
      </c>
      <c r="Q17" s="72"/>
      <c r="R17" s="6" t="s">
        <v>3280</v>
      </c>
      <c r="S17" s="72"/>
      <c r="T17" s="6" t="s">
        <v>1915</v>
      </c>
      <c r="U17" s="72"/>
      <c r="V17" s="72"/>
      <c r="W17" s="72"/>
      <c r="X17" s="72"/>
      <c r="Y17" s="72"/>
      <c r="Z17" s="72"/>
      <c r="AA17" s="72"/>
      <c r="AB17" s="72"/>
      <c r="AC17" s="6" t="s">
        <v>3281</v>
      </c>
      <c r="AD17" s="72"/>
      <c r="AE17" s="6" t="s">
        <v>3282</v>
      </c>
      <c r="AF17" s="6" t="s">
        <v>3283</v>
      </c>
      <c r="AG17" s="72"/>
      <c r="AH17" s="6" t="s">
        <v>2380</v>
      </c>
      <c r="AI17" s="6" t="s">
        <v>2471</v>
      </c>
      <c r="AJ17" s="6" t="s">
        <v>2472</v>
      </c>
      <c r="AK17" s="6" t="s">
        <v>3284</v>
      </c>
      <c r="AL17" s="72"/>
      <c r="AM17" s="6" t="s">
        <v>2530</v>
      </c>
      <c r="AN17" s="6" t="s">
        <v>2564</v>
      </c>
      <c r="AO17" s="72"/>
      <c r="AP17" s="6" t="s">
        <v>3285</v>
      </c>
      <c r="AQ17" s="6" t="s">
        <v>3286</v>
      </c>
      <c r="AR17" s="6" t="s">
        <v>3287</v>
      </c>
      <c r="AS17" s="6" t="s">
        <v>3288</v>
      </c>
      <c r="AT17" s="6" t="s">
        <v>3289</v>
      </c>
      <c r="AU17" s="6" t="s">
        <v>2876</v>
      </c>
      <c r="AV17" s="6" t="s">
        <v>3290</v>
      </c>
      <c r="AW17" s="6" t="s">
        <v>3291</v>
      </c>
      <c r="AX17" s="6" t="s">
        <v>3292</v>
      </c>
      <c r="AY17" s="6" t="s">
        <v>3293</v>
      </c>
      <c r="AZ17" s="6" t="s">
        <v>3294</v>
      </c>
      <c r="BA17" s="6" t="s">
        <v>3295</v>
      </c>
      <c r="BB17" s="6" t="s">
        <v>3296</v>
      </c>
    </row>
    <row r="18" customFormat="false" ht="147" hidden="false" customHeight="false" outlineLevel="0" collapsed="false">
      <c r="A18" s="36" t="s">
        <v>272</v>
      </c>
      <c r="B18" s="6" t="s">
        <v>273</v>
      </c>
      <c r="C18" s="37" t="s">
        <v>108</v>
      </c>
      <c r="D18" s="6" t="s">
        <v>3297</v>
      </c>
      <c r="E18" s="6" t="s">
        <v>765</v>
      </c>
      <c r="F18" s="6" t="s">
        <v>3298</v>
      </c>
      <c r="G18" s="6" t="s">
        <v>3299</v>
      </c>
      <c r="H18" s="6" t="s">
        <v>1142</v>
      </c>
      <c r="I18" s="6" t="s">
        <v>3300</v>
      </c>
      <c r="J18" s="6" t="s">
        <v>1202</v>
      </c>
      <c r="K18" s="72"/>
      <c r="L18" s="72"/>
      <c r="M18" s="6" t="s">
        <v>1342</v>
      </c>
      <c r="N18" s="72"/>
      <c r="O18" s="72"/>
      <c r="P18" s="6" t="s">
        <v>3301</v>
      </c>
      <c r="Q18" s="72"/>
      <c r="R18" s="6" t="s">
        <v>3302</v>
      </c>
      <c r="S18" s="72"/>
      <c r="T18" s="72"/>
      <c r="U18" s="72"/>
      <c r="V18" s="72"/>
      <c r="W18" s="6" t="s">
        <v>3303</v>
      </c>
      <c r="X18" s="6" t="s">
        <v>1967</v>
      </c>
      <c r="Y18" s="72"/>
      <c r="Z18" s="72"/>
      <c r="AA18" s="72"/>
      <c r="AB18" s="72"/>
      <c r="AC18" s="6" t="s">
        <v>3304</v>
      </c>
      <c r="AD18" s="6" t="s">
        <v>2102</v>
      </c>
      <c r="AE18" s="6" t="s">
        <v>3305</v>
      </c>
      <c r="AF18" s="72"/>
      <c r="AG18" s="72"/>
      <c r="AH18" s="72"/>
      <c r="AI18" s="6" t="s">
        <v>3306</v>
      </c>
      <c r="AJ18" s="6" t="s">
        <v>2479</v>
      </c>
      <c r="AK18" s="6" t="s">
        <v>2498</v>
      </c>
      <c r="AL18" s="6" t="s">
        <v>2512</v>
      </c>
      <c r="AM18" s="6" t="s">
        <v>2536</v>
      </c>
      <c r="AN18" s="6" t="s">
        <v>2579</v>
      </c>
      <c r="AO18" s="6" t="s">
        <v>3307</v>
      </c>
      <c r="AP18" s="6" t="s">
        <v>3308</v>
      </c>
      <c r="AQ18" s="6" t="s">
        <v>3309</v>
      </c>
      <c r="AR18" s="6" t="s">
        <v>3310</v>
      </c>
      <c r="AS18" s="6" t="s">
        <v>3311</v>
      </c>
      <c r="AT18" s="6" t="s">
        <v>3312</v>
      </c>
      <c r="AU18" s="6" t="s">
        <v>3313</v>
      </c>
      <c r="AV18" s="6" t="s">
        <v>3314</v>
      </c>
      <c r="AW18" s="6" t="s">
        <v>3315</v>
      </c>
      <c r="AX18" s="6" t="s">
        <v>3316</v>
      </c>
      <c r="AY18" s="6" t="s">
        <v>2981</v>
      </c>
      <c r="AZ18" s="6" t="s">
        <v>3317</v>
      </c>
      <c r="BA18" s="6" t="s">
        <v>3104</v>
      </c>
      <c r="BB18" s="6" t="s">
        <v>3318</v>
      </c>
    </row>
    <row r="19" customFormat="false" ht="370.85" hidden="false" customHeight="false" outlineLevel="0" collapsed="false">
      <c r="A19" s="36" t="s">
        <v>282</v>
      </c>
      <c r="B19" s="6" t="s">
        <v>283</v>
      </c>
      <c r="C19" s="37" t="s">
        <v>108</v>
      </c>
      <c r="D19" s="6" t="s">
        <v>3319</v>
      </c>
      <c r="E19" s="6" t="s">
        <v>765</v>
      </c>
      <c r="F19" s="6" t="s">
        <v>3320</v>
      </c>
      <c r="G19" s="6" t="s">
        <v>3321</v>
      </c>
      <c r="H19" s="6" t="s">
        <v>1158</v>
      </c>
      <c r="I19" s="6" t="s">
        <v>3322</v>
      </c>
      <c r="J19" s="6" t="s">
        <v>1206</v>
      </c>
      <c r="K19" s="72"/>
      <c r="L19" s="72"/>
      <c r="M19" s="6" t="s">
        <v>3323</v>
      </c>
      <c r="N19" s="72"/>
      <c r="O19" s="72"/>
      <c r="P19" s="6" t="s">
        <v>3324</v>
      </c>
      <c r="Q19" s="72"/>
      <c r="R19" s="6" t="s">
        <v>3325</v>
      </c>
      <c r="S19" s="72"/>
      <c r="T19" s="72"/>
      <c r="U19" s="72"/>
      <c r="V19" s="6" t="s">
        <v>1943</v>
      </c>
      <c r="W19" s="72"/>
      <c r="X19" s="72"/>
      <c r="Y19" s="6" t="s">
        <v>1979</v>
      </c>
      <c r="Z19" s="72"/>
      <c r="AA19" s="72"/>
      <c r="AB19" s="6" t="s">
        <v>2023</v>
      </c>
      <c r="AC19" s="6" t="s">
        <v>2051</v>
      </c>
      <c r="AD19" s="6" t="s">
        <v>2135</v>
      </c>
      <c r="AE19" s="6" t="s">
        <v>2233</v>
      </c>
      <c r="AF19" s="6" t="s">
        <v>2301</v>
      </c>
      <c r="AG19" s="6" t="s">
        <v>3326</v>
      </c>
      <c r="AH19" s="6" t="s">
        <v>2428</v>
      </c>
      <c r="AI19" s="72"/>
      <c r="AJ19" s="72"/>
      <c r="AK19" s="72"/>
      <c r="AL19" s="72"/>
      <c r="AM19" s="72"/>
      <c r="AN19" s="72"/>
      <c r="AO19" s="6" t="s">
        <v>2603</v>
      </c>
      <c r="AP19" s="6" t="s">
        <v>2684</v>
      </c>
      <c r="AQ19" s="6" t="s">
        <v>3327</v>
      </c>
      <c r="AR19" s="72"/>
      <c r="AS19" s="6" t="s">
        <v>3328</v>
      </c>
      <c r="AT19" s="6" t="s">
        <v>2865</v>
      </c>
      <c r="AU19" s="6" t="s">
        <v>2878</v>
      </c>
      <c r="AV19" s="72"/>
      <c r="AW19" s="72"/>
      <c r="AX19" s="6" t="s">
        <v>3329</v>
      </c>
      <c r="AY19" s="6" t="s">
        <v>2985</v>
      </c>
      <c r="AZ19" s="6" t="s">
        <v>3330</v>
      </c>
      <c r="BA19" s="72"/>
      <c r="BB19" s="6" t="s">
        <v>3331</v>
      </c>
    </row>
    <row r="20" customFormat="false" ht="158.2" hidden="false" customHeight="false" outlineLevel="0" collapsed="false">
      <c r="A20" s="36" t="s">
        <v>291</v>
      </c>
      <c r="B20" s="6" t="s">
        <v>292</v>
      </c>
      <c r="C20" s="37" t="s">
        <v>108</v>
      </c>
      <c r="D20" s="6" t="s">
        <v>3332</v>
      </c>
      <c r="E20" s="6" t="s">
        <v>799</v>
      </c>
      <c r="F20" s="6" t="s">
        <v>3333</v>
      </c>
      <c r="G20" s="6" t="s">
        <v>3334</v>
      </c>
      <c r="H20" s="72"/>
      <c r="I20" s="6" t="s">
        <v>3335</v>
      </c>
      <c r="J20" s="6" t="s">
        <v>1218</v>
      </c>
      <c r="K20" s="6" t="s">
        <v>3336</v>
      </c>
      <c r="L20" s="6" t="s">
        <v>3337</v>
      </c>
      <c r="M20" s="6" t="s">
        <v>3338</v>
      </c>
      <c r="N20" s="6" t="s">
        <v>1447</v>
      </c>
      <c r="O20" s="72"/>
      <c r="P20" s="72"/>
      <c r="Q20" s="72"/>
      <c r="R20" s="6" t="s">
        <v>3339</v>
      </c>
      <c r="S20" s="72"/>
      <c r="T20" s="72"/>
      <c r="U20" s="72"/>
      <c r="V20" s="72"/>
      <c r="W20" s="72"/>
      <c r="X20" s="72"/>
      <c r="Y20" s="72"/>
      <c r="Z20" s="72"/>
      <c r="AA20" s="72"/>
      <c r="AB20" s="72"/>
      <c r="AC20" s="6" t="s">
        <v>2064</v>
      </c>
      <c r="AD20" s="6" t="s">
        <v>3340</v>
      </c>
      <c r="AE20" s="6" t="s">
        <v>3341</v>
      </c>
      <c r="AF20" s="72"/>
      <c r="AG20" s="6" t="s">
        <v>2339</v>
      </c>
      <c r="AH20" s="6" t="s">
        <v>3342</v>
      </c>
      <c r="AI20" s="72"/>
      <c r="AJ20" s="72"/>
      <c r="AK20" s="72"/>
      <c r="AL20" s="72"/>
      <c r="AM20" s="72"/>
      <c r="AN20" s="72"/>
      <c r="AO20" s="72"/>
      <c r="AP20" s="72"/>
      <c r="AQ20" s="72"/>
      <c r="AR20" s="72"/>
      <c r="AS20" s="72"/>
      <c r="AT20" s="72"/>
      <c r="AU20" s="72"/>
      <c r="AV20" s="72"/>
      <c r="AW20" s="72"/>
      <c r="AX20" s="72"/>
      <c r="AY20" s="72"/>
      <c r="AZ20" s="72"/>
      <c r="BA20" s="72"/>
      <c r="BB20" s="72"/>
    </row>
    <row r="21" customFormat="false" ht="180.55" hidden="false" customHeight="false" outlineLevel="0" collapsed="false">
      <c r="A21" s="36" t="s">
        <v>300</v>
      </c>
      <c r="B21" s="6" t="s">
        <v>301</v>
      </c>
      <c r="C21" s="37" t="s">
        <v>108</v>
      </c>
      <c r="D21" s="6" t="s">
        <v>3343</v>
      </c>
      <c r="E21" s="6" t="s">
        <v>3344</v>
      </c>
      <c r="F21" s="6" t="s">
        <v>3345</v>
      </c>
      <c r="G21" s="6" t="s">
        <v>3191</v>
      </c>
      <c r="H21" s="72"/>
      <c r="I21" s="6" t="s">
        <v>3346</v>
      </c>
      <c r="J21" s="6" t="s">
        <v>1218</v>
      </c>
      <c r="K21" s="6" t="s">
        <v>1241</v>
      </c>
      <c r="L21" s="6" t="s">
        <v>3347</v>
      </c>
      <c r="M21" s="6" t="s">
        <v>3348</v>
      </c>
      <c r="N21" s="6" t="s">
        <v>3349</v>
      </c>
      <c r="O21" s="6" t="s">
        <v>1571</v>
      </c>
      <c r="P21" s="72"/>
      <c r="Q21" s="72"/>
      <c r="R21" s="6" t="s">
        <v>3350</v>
      </c>
      <c r="S21" s="72"/>
      <c r="T21" s="72"/>
      <c r="U21" s="72"/>
      <c r="V21" s="72"/>
      <c r="W21" s="72"/>
      <c r="X21" s="72"/>
      <c r="Y21" s="72"/>
      <c r="Z21" s="72"/>
      <c r="AA21" s="72"/>
      <c r="AB21" s="72"/>
      <c r="AC21" s="6" t="s">
        <v>2064</v>
      </c>
      <c r="AD21" s="6" t="s">
        <v>3340</v>
      </c>
      <c r="AE21" s="6" t="s">
        <v>3351</v>
      </c>
      <c r="AF21" s="6" t="s">
        <v>2281</v>
      </c>
      <c r="AG21" s="6" t="s">
        <v>2339</v>
      </c>
      <c r="AH21" s="6" t="s">
        <v>3352</v>
      </c>
      <c r="AI21" s="72"/>
      <c r="AJ21" s="72"/>
      <c r="AK21" s="72"/>
      <c r="AL21" s="72"/>
      <c r="AM21" s="72"/>
      <c r="AN21" s="72"/>
      <c r="AO21" s="72"/>
      <c r="AP21" s="72"/>
      <c r="AQ21" s="72"/>
      <c r="AR21" s="72"/>
      <c r="AS21" s="72"/>
      <c r="AT21" s="72"/>
      <c r="AU21" s="72"/>
      <c r="AV21" s="72"/>
      <c r="AW21" s="72"/>
      <c r="AX21" s="72"/>
      <c r="AY21" s="72"/>
      <c r="AZ21" s="6" t="s">
        <v>3353</v>
      </c>
      <c r="BA21" s="72"/>
      <c r="BB21" s="72"/>
    </row>
    <row r="22" customFormat="false" ht="113.4" hidden="false" customHeight="false" outlineLevel="0" collapsed="false">
      <c r="A22" s="36" t="s">
        <v>307</v>
      </c>
      <c r="B22" s="6" t="s">
        <v>308</v>
      </c>
      <c r="C22" s="37" t="s">
        <v>108</v>
      </c>
      <c r="D22" s="6" t="s">
        <v>3354</v>
      </c>
      <c r="E22" s="6" t="s">
        <v>3355</v>
      </c>
      <c r="F22" s="6" t="s">
        <v>3356</v>
      </c>
      <c r="G22" s="6" t="s">
        <v>3357</v>
      </c>
      <c r="H22" s="6" t="s">
        <v>1142</v>
      </c>
      <c r="I22" s="72"/>
      <c r="J22" s="6" t="s">
        <v>1202</v>
      </c>
      <c r="K22" s="72"/>
      <c r="L22" s="72"/>
      <c r="M22" s="6" t="s">
        <v>3358</v>
      </c>
      <c r="N22" s="6" t="s">
        <v>3359</v>
      </c>
      <c r="O22" s="6" t="s">
        <v>3360</v>
      </c>
      <c r="P22" s="6" t="s">
        <v>3361</v>
      </c>
      <c r="Q22" s="72"/>
      <c r="R22" s="6" t="s">
        <v>3362</v>
      </c>
      <c r="S22" s="72"/>
      <c r="T22" s="72"/>
      <c r="U22" s="72"/>
      <c r="V22" s="72"/>
      <c r="W22" s="6" t="s">
        <v>1956</v>
      </c>
      <c r="X22" s="6" t="s">
        <v>1967</v>
      </c>
      <c r="Y22" s="6" t="s">
        <v>1991</v>
      </c>
      <c r="Z22" s="6" t="s">
        <v>1999</v>
      </c>
      <c r="AA22" s="72"/>
      <c r="AB22" s="6" t="s">
        <v>2017</v>
      </c>
      <c r="AC22" s="6" t="s">
        <v>3363</v>
      </c>
      <c r="AD22" s="6" t="s">
        <v>2102</v>
      </c>
      <c r="AE22" s="6" t="s">
        <v>3364</v>
      </c>
      <c r="AF22" s="72"/>
      <c r="AG22" s="6" t="s">
        <v>3365</v>
      </c>
      <c r="AH22" s="6" t="s">
        <v>3366</v>
      </c>
      <c r="AI22" s="72"/>
      <c r="AJ22" s="6" t="s">
        <v>2479</v>
      </c>
      <c r="AK22" s="6" t="s">
        <v>2498</v>
      </c>
      <c r="AL22" s="6" t="s">
        <v>2512</v>
      </c>
      <c r="AM22" s="6" t="s">
        <v>2536</v>
      </c>
      <c r="AN22" s="72"/>
      <c r="AO22" s="6" t="s">
        <v>2597</v>
      </c>
      <c r="AP22" s="6" t="s">
        <v>3367</v>
      </c>
      <c r="AQ22" s="6" t="s">
        <v>2711</v>
      </c>
      <c r="AR22" s="6" t="s">
        <v>2756</v>
      </c>
      <c r="AS22" s="6" t="s">
        <v>2840</v>
      </c>
      <c r="AT22" s="72"/>
      <c r="AU22" s="6" t="s">
        <v>2874</v>
      </c>
      <c r="AV22" s="72"/>
      <c r="AW22" s="72"/>
      <c r="AX22" s="6" t="s">
        <v>2933</v>
      </c>
      <c r="AY22" s="72"/>
      <c r="AZ22" s="6" t="s">
        <v>3317</v>
      </c>
      <c r="BA22" s="72"/>
      <c r="BB22" s="6" t="s">
        <v>3368</v>
      </c>
    </row>
    <row r="23" customFormat="false" ht="57.45" hidden="false" customHeight="false" outlineLevel="0" collapsed="false">
      <c r="A23" s="36" t="s">
        <v>315</v>
      </c>
      <c r="B23" s="6" t="s">
        <v>316</v>
      </c>
      <c r="C23" s="37" t="s">
        <v>108</v>
      </c>
      <c r="D23" s="6" t="s">
        <v>692</v>
      </c>
      <c r="E23" s="6" t="s">
        <v>3369</v>
      </c>
      <c r="F23" s="6" t="s">
        <v>3370</v>
      </c>
      <c r="G23" s="6" t="s">
        <v>3357</v>
      </c>
      <c r="H23" s="72"/>
      <c r="I23" s="6" t="s">
        <v>1159</v>
      </c>
      <c r="J23" s="6" t="s">
        <v>3371</v>
      </c>
      <c r="K23" s="72"/>
      <c r="L23" s="6" t="s">
        <v>1288</v>
      </c>
      <c r="M23" s="6" t="s">
        <v>3372</v>
      </c>
      <c r="N23" s="6" t="s">
        <v>3373</v>
      </c>
      <c r="O23" s="6" t="s">
        <v>1560</v>
      </c>
      <c r="P23" s="72"/>
      <c r="Q23" s="72"/>
      <c r="R23" s="6" t="s">
        <v>3374</v>
      </c>
      <c r="S23" s="72"/>
      <c r="T23" s="72"/>
      <c r="U23" s="72"/>
      <c r="V23" s="72"/>
      <c r="W23" s="72"/>
      <c r="X23" s="72"/>
      <c r="Y23" s="72"/>
      <c r="Z23" s="72"/>
      <c r="AA23" s="72"/>
      <c r="AB23" s="72"/>
      <c r="AC23" s="6" t="s">
        <v>3375</v>
      </c>
      <c r="AD23" s="6" t="s">
        <v>3376</v>
      </c>
      <c r="AE23" s="6" t="s">
        <v>3351</v>
      </c>
      <c r="AF23" s="72"/>
      <c r="AG23" s="72"/>
      <c r="AH23" s="6" t="s">
        <v>2431</v>
      </c>
      <c r="AI23" s="72"/>
      <c r="AJ23" s="72"/>
      <c r="AK23" s="72"/>
      <c r="AL23" s="72"/>
      <c r="AM23" s="72"/>
      <c r="AN23" s="72"/>
      <c r="AO23" s="72"/>
      <c r="AP23" s="72"/>
      <c r="AQ23" s="72"/>
      <c r="AR23" s="72"/>
      <c r="AS23" s="72"/>
      <c r="AT23" s="72"/>
      <c r="AU23" s="72"/>
      <c r="AV23" s="72"/>
      <c r="AW23" s="72"/>
      <c r="AX23" s="72"/>
      <c r="AY23" s="72"/>
      <c r="AZ23" s="72"/>
      <c r="BA23" s="72"/>
      <c r="BB23" s="72"/>
    </row>
    <row r="24" customFormat="false" ht="124.6" hidden="false" customHeight="false" outlineLevel="0" collapsed="false">
      <c r="A24" s="36" t="s">
        <v>324</v>
      </c>
      <c r="B24" s="6" t="s">
        <v>325</v>
      </c>
      <c r="C24" s="37" t="s">
        <v>109</v>
      </c>
      <c r="D24" s="6" t="s">
        <v>3377</v>
      </c>
      <c r="E24" s="6" t="s">
        <v>3378</v>
      </c>
      <c r="F24" s="6" t="s">
        <v>3379</v>
      </c>
      <c r="G24" s="6" t="s">
        <v>3380</v>
      </c>
      <c r="H24" s="72"/>
      <c r="I24" s="72"/>
      <c r="J24" s="6" t="s">
        <v>3381</v>
      </c>
      <c r="K24" s="72"/>
      <c r="L24" s="72"/>
      <c r="M24" s="6" t="s">
        <v>3382</v>
      </c>
      <c r="N24" s="6" t="s">
        <v>1465</v>
      </c>
      <c r="O24" s="6" t="s">
        <v>3383</v>
      </c>
      <c r="P24" s="6" t="s">
        <v>3384</v>
      </c>
      <c r="Q24" s="72"/>
      <c r="R24" s="6" t="s">
        <v>1904</v>
      </c>
      <c r="S24" s="72"/>
      <c r="T24" s="72"/>
      <c r="U24" s="72"/>
      <c r="V24" s="72"/>
      <c r="W24" s="72"/>
      <c r="X24" s="72"/>
      <c r="Y24" s="6" t="s">
        <v>1996</v>
      </c>
      <c r="Z24" s="72"/>
      <c r="AA24" s="72"/>
      <c r="AB24" s="6" t="s">
        <v>2019</v>
      </c>
      <c r="AC24" s="6" t="s">
        <v>2070</v>
      </c>
      <c r="AD24" s="72"/>
      <c r="AE24" s="6" t="s">
        <v>3385</v>
      </c>
      <c r="AF24" s="6" t="s">
        <v>2299</v>
      </c>
      <c r="AG24" s="72"/>
      <c r="AH24" s="72"/>
      <c r="AI24" s="72"/>
      <c r="AJ24" s="72"/>
      <c r="AK24" s="72"/>
      <c r="AL24" s="72"/>
      <c r="AM24" s="72"/>
      <c r="AN24" s="72"/>
      <c r="AO24" s="72"/>
      <c r="AP24" s="72"/>
      <c r="AQ24" s="72"/>
      <c r="AR24" s="72"/>
      <c r="AS24" s="72"/>
      <c r="AT24" s="72"/>
      <c r="AU24" s="72"/>
      <c r="AV24" s="72"/>
      <c r="AW24" s="72"/>
      <c r="AX24" s="72"/>
      <c r="AY24" s="72"/>
      <c r="AZ24" s="72"/>
      <c r="BA24" s="72"/>
      <c r="BB24" s="72"/>
    </row>
    <row r="25" customFormat="false" ht="113.4" hidden="false" customHeight="false" outlineLevel="0" collapsed="false">
      <c r="A25" s="36" t="s">
        <v>331</v>
      </c>
      <c r="B25" s="6" t="s">
        <v>332</v>
      </c>
      <c r="C25" s="37" t="s">
        <v>108</v>
      </c>
      <c r="D25" s="6" t="s">
        <v>3188</v>
      </c>
      <c r="E25" s="6" t="s">
        <v>3386</v>
      </c>
      <c r="F25" s="6" t="s">
        <v>3387</v>
      </c>
      <c r="G25" s="6" t="s">
        <v>3357</v>
      </c>
      <c r="H25" s="72"/>
      <c r="I25" s="72"/>
      <c r="J25" s="6" t="s">
        <v>3388</v>
      </c>
      <c r="K25" s="72"/>
      <c r="L25" s="6" t="s">
        <v>1272</v>
      </c>
      <c r="M25" s="6" t="s">
        <v>3389</v>
      </c>
      <c r="N25" s="6" t="s">
        <v>3390</v>
      </c>
      <c r="O25" s="6" t="s">
        <v>3391</v>
      </c>
      <c r="P25" s="6" t="s">
        <v>3196</v>
      </c>
      <c r="Q25" s="72"/>
      <c r="R25" s="6" t="s">
        <v>3392</v>
      </c>
      <c r="S25" s="72"/>
      <c r="T25" s="72"/>
      <c r="U25" s="72"/>
      <c r="V25" s="72"/>
      <c r="W25" s="72"/>
      <c r="X25" s="72"/>
      <c r="Y25" s="72"/>
      <c r="Z25" s="72"/>
      <c r="AA25" s="72"/>
      <c r="AB25" s="72"/>
      <c r="AC25" s="6" t="s">
        <v>2077</v>
      </c>
      <c r="AD25" s="6" t="s">
        <v>2138</v>
      </c>
      <c r="AE25" s="6" t="s">
        <v>2264</v>
      </c>
      <c r="AF25" s="6" t="s">
        <v>2303</v>
      </c>
      <c r="AG25" s="72"/>
      <c r="AH25" s="6" t="s">
        <v>3393</v>
      </c>
      <c r="AI25" s="72"/>
      <c r="AJ25" s="72"/>
      <c r="AK25" s="72"/>
      <c r="AL25" s="72"/>
      <c r="AM25" s="72"/>
      <c r="AN25" s="72"/>
      <c r="AO25" s="72"/>
      <c r="AP25" s="72"/>
      <c r="AQ25" s="72"/>
      <c r="AR25" s="72"/>
      <c r="AS25" s="72"/>
      <c r="AT25" s="72"/>
      <c r="AU25" s="72"/>
      <c r="AV25" s="72"/>
      <c r="AW25" s="72"/>
      <c r="AX25" s="72"/>
      <c r="AY25" s="72"/>
      <c r="AZ25" s="72"/>
      <c r="BA25" s="72"/>
      <c r="BB25" s="6" t="s">
        <v>3108</v>
      </c>
    </row>
    <row r="26" customFormat="false" ht="57.45" hidden="false" customHeight="false" outlineLevel="0" collapsed="false">
      <c r="A26" s="36" t="s">
        <v>339</v>
      </c>
      <c r="B26" s="6" t="s">
        <v>340</v>
      </c>
      <c r="C26" s="37" t="s">
        <v>109</v>
      </c>
      <c r="D26" s="6" t="s">
        <v>3394</v>
      </c>
      <c r="E26" s="72"/>
      <c r="F26" s="6" t="s">
        <v>3395</v>
      </c>
      <c r="G26" s="6" t="s">
        <v>3357</v>
      </c>
      <c r="H26" s="72"/>
      <c r="I26" s="72"/>
      <c r="J26" s="6" t="s">
        <v>3396</v>
      </c>
      <c r="K26" s="72"/>
      <c r="L26" s="72"/>
      <c r="M26" s="6" t="s">
        <v>3397</v>
      </c>
      <c r="N26" s="6" t="s">
        <v>3398</v>
      </c>
      <c r="O26" s="6" t="s">
        <v>1530</v>
      </c>
      <c r="P26" s="6" t="s">
        <v>1627</v>
      </c>
      <c r="Q26" s="72"/>
      <c r="R26" s="6" t="s">
        <v>3399</v>
      </c>
      <c r="S26" s="72"/>
      <c r="T26" s="72"/>
      <c r="U26" s="72"/>
      <c r="V26" s="72"/>
      <c r="W26" s="72"/>
      <c r="X26" s="72"/>
      <c r="Y26" s="72"/>
      <c r="Z26" s="72"/>
      <c r="AA26" s="72"/>
      <c r="AB26" s="72"/>
      <c r="AC26" s="6" t="s">
        <v>3173</v>
      </c>
      <c r="AD26" s="6" t="s">
        <v>3400</v>
      </c>
      <c r="AE26" s="6" t="s">
        <v>3401</v>
      </c>
      <c r="AF26" s="72"/>
      <c r="AG26" s="72"/>
      <c r="AH26" s="6" t="s">
        <v>3402</v>
      </c>
      <c r="AI26" s="72"/>
      <c r="AJ26" s="72"/>
      <c r="AK26" s="72"/>
      <c r="AL26" s="72"/>
      <c r="AM26" s="72"/>
      <c r="AN26" s="72"/>
      <c r="AO26" s="72"/>
      <c r="AP26" s="72"/>
      <c r="AQ26" s="72"/>
      <c r="AR26" s="72"/>
      <c r="AS26" s="72"/>
      <c r="AT26" s="72"/>
      <c r="AU26" s="72"/>
      <c r="AV26" s="72"/>
      <c r="AW26" s="72"/>
      <c r="AX26" s="72"/>
      <c r="AY26" s="72"/>
      <c r="AZ26" s="72"/>
      <c r="BA26" s="72"/>
      <c r="BB26" s="72"/>
    </row>
    <row r="27" customFormat="false" ht="91" hidden="false" customHeight="false" outlineLevel="0" collapsed="false">
      <c r="A27" s="36" t="s">
        <v>347</v>
      </c>
      <c r="B27" s="6" t="s">
        <v>348</v>
      </c>
      <c r="C27" s="37" t="s">
        <v>108</v>
      </c>
      <c r="D27" s="6" t="s">
        <v>3403</v>
      </c>
      <c r="E27" s="6" t="s">
        <v>3404</v>
      </c>
      <c r="F27" s="6" t="s">
        <v>3405</v>
      </c>
      <c r="G27" s="6" t="s">
        <v>3191</v>
      </c>
      <c r="H27" s="72"/>
      <c r="I27" s="72"/>
      <c r="J27" s="6" t="s">
        <v>1218</v>
      </c>
      <c r="K27" s="6" t="s">
        <v>1238</v>
      </c>
      <c r="L27" s="6" t="s">
        <v>1275</v>
      </c>
      <c r="M27" s="6" t="s">
        <v>3406</v>
      </c>
      <c r="N27" s="6" t="s">
        <v>3407</v>
      </c>
      <c r="O27" s="6" t="s">
        <v>3408</v>
      </c>
      <c r="P27" s="6" t="s">
        <v>1621</v>
      </c>
      <c r="Q27" s="72"/>
      <c r="R27" s="6" t="s">
        <v>3409</v>
      </c>
      <c r="S27" s="72"/>
      <c r="T27" s="72"/>
      <c r="U27" s="72"/>
      <c r="V27" s="72"/>
      <c r="W27" s="72"/>
      <c r="X27" s="72"/>
      <c r="Y27" s="72"/>
      <c r="Z27" s="72"/>
      <c r="AA27" s="72"/>
      <c r="AB27" s="72"/>
      <c r="AC27" s="6" t="s">
        <v>2064</v>
      </c>
      <c r="AD27" s="6" t="s">
        <v>2111</v>
      </c>
      <c r="AE27" s="6" t="s">
        <v>3351</v>
      </c>
      <c r="AF27" s="72"/>
      <c r="AG27" s="6" t="s">
        <v>2335</v>
      </c>
      <c r="AH27" s="6" t="s">
        <v>3410</v>
      </c>
      <c r="AI27" s="72"/>
      <c r="AJ27" s="72"/>
      <c r="AK27" s="72"/>
      <c r="AL27" s="72"/>
      <c r="AM27" s="72"/>
      <c r="AN27" s="72"/>
      <c r="AO27" s="72"/>
      <c r="AP27" s="72"/>
      <c r="AQ27" s="72"/>
      <c r="AR27" s="72"/>
      <c r="AS27" s="72"/>
      <c r="AT27" s="72"/>
      <c r="AU27" s="72"/>
      <c r="AV27" s="72"/>
      <c r="AW27" s="72"/>
      <c r="AX27" s="72"/>
      <c r="AY27" s="72"/>
      <c r="AZ27" s="72"/>
      <c r="BA27" s="72"/>
      <c r="BB27" s="72"/>
    </row>
    <row r="28" customFormat="false" ht="113.4" hidden="false" customHeight="false" outlineLevel="0" collapsed="false">
      <c r="A28" s="36" t="s">
        <v>356</v>
      </c>
      <c r="B28" s="6" t="s">
        <v>357</v>
      </c>
      <c r="C28" s="37" t="s">
        <v>108</v>
      </c>
      <c r="D28" s="6" t="s">
        <v>3411</v>
      </c>
      <c r="E28" s="6" t="s">
        <v>803</v>
      </c>
      <c r="F28" s="6" t="s">
        <v>3412</v>
      </c>
      <c r="G28" s="6" t="s">
        <v>3413</v>
      </c>
      <c r="H28" s="6" t="s">
        <v>1149</v>
      </c>
      <c r="I28" s="72"/>
      <c r="J28" s="6" t="s">
        <v>1218</v>
      </c>
      <c r="K28" s="6" t="s">
        <v>1254</v>
      </c>
      <c r="L28" s="72"/>
      <c r="M28" s="6" t="s">
        <v>3414</v>
      </c>
      <c r="N28" s="6" t="s">
        <v>1475</v>
      </c>
      <c r="O28" s="6" t="s">
        <v>1498</v>
      </c>
      <c r="P28" s="6" t="s">
        <v>3415</v>
      </c>
      <c r="Q28" s="72"/>
      <c r="R28" s="6" t="s">
        <v>1608</v>
      </c>
      <c r="S28" s="72"/>
      <c r="T28" s="72"/>
      <c r="U28" s="72"/>
      <c r="V28" s="72"/>
      <c r="W28" s="72"/>
      <c r="X28" s="6" t="s">
        <v>1973</v>
      </c>
      <c r="Y28" s="72"/>
      <c r="Z28" s="72"/>
      <c r="AA28" s="72"/>
      <c r="AB28" s="72"/>
      <c r="AC28" s="6" t="s">
        <v>2064</v>
      </c>
      <c r="AD28" s="72"/>
      <c r="AE28" s="72"/>
      <c r="AF28" s="72"/>
      <c r="AG28" s="72"/>
      <c r="AH28" s="6" t="s">
        <v>3416</v>
      </c>
      <c r="AI28" s="72"/>
      <c r="AJ28" s="6" t="s">
        <v>2478</v>
      </c>
      <c r="AK28" s="6" t="s">
        <v>2488</v>
      </c>
      <c r="AL28" s="72"/>
      <c r="AM28" s="72"/>
      <c r="AN28" s="72"/>
      <c r="AO28" s="6" t="s">
        <v>2583</v>
      </c>
      <c r="AP28" s="6" t="s">
        <v>3417</v>
      </c>
      <c r="AQ28" s="6" t="s">
        <v>2702</v>
      </c>
      <c r="AR28" s="6" t="s">
        <v>3418</v>
      </c>
      <c r="AS28" s="6" t="s">
        <v>3419</v>
      </c>
      <c r="AT28" s="6" t="s">
        <v>2855</v>
      </c>
      <c r="AU28" s="72"/>
      <c r="AV28" s="6" t="s">
        <v>2888</v>
      </c>
      <c r="AW28" s="6" t="s">
        <v>2921</v>
      </c>
      <c r="AX28" s="6" t="s">
        <v>2942</v>
      </c>
      <c r="AY28" s="72"/>
      <c r="AZ28" s="6" t="s">
        <v>3420</v>
      </c>
      <c r="BA28" s="6" t="s">
        <v>3092</v>
      </c>
      <c r="BB28" s="6" t="s">
        <v>3421</v>
      </c>
    </row>
    <row r="29" customFormat="false" ht="147" hidden="false" customHeight="false" outlineLevel="0" collapsed="false">
      <c r="A29" s="36" t="s">
        <v>363</v>
      </c>
      <c r="B29" s="6" t="s">
        <v>364</v>
      </c>
      <c r="C29" s="37" t="s">
        <v>108</v>
      </c>
      <c r="D29" s="6" t="s">
        <v>3422</v>
      </c>
      <c r="E29" s="6" t="s">
        <v>3423</v>
      </c>
      <c r="F29" s="6" t="s">
        <v>3424</v>
      </c>
      <c r="G29" s="6" t="s">
        <v>3425</v>
      </c>
      <c r="H29" s="6" t="s">
        <v>1158</v>
      </c>
      <c r="I29" s="72"/>
      <c r="J29" s="6" t="s">
        <v>1206</v>
      </c>
      <c r="K29" s="6" t="s">
        <v>3426</v>
      </c>
      <c r="L29" s="6" t="s">
        <v>3427</v>
      </c>
      <c r="M29" s="6" t="s">
        <v>3428</v>
      </c>
      <c r="N29" s="6" t="s">
        <v>3429</v>
      </c>
      <c r="O29" s="6" t="s">
        <v>3430</v>
      </c>
      <c r="P29" s="6" t="s">
        <v>3431</v>
      </c>
      <c r="Q29" s="72"/>
      <c r="R29" s="6" t="s">
        <v>3432</v>
      </c>
      <c r="S29" s="72"/>
      <c r="T29" s="72"/>
      <c r="U29" s="72"/>
      <c r="V29" s="72"/>
      <c r="W29" s="72"/>
      <c r="X29" s="72"/>
      <c r="Y29" s="72"/>
      <c r="Z29" s="72"/>
      <c r="AA29" s="72"/>
      <c r="AB29" s="72"/>
      <c r="AC29" s="6" t="s">
        <v>3433</v>
      </c>
      <c r="AD29" s="6" t="s">
        <v>3434</v>
      </c>
      <c r="AE29" s="6" t="s">
        <v>3435</v>
      </c>
      <c r="AF29" s="72"/>
      <c r="AG29" s="72"/>
      <c r="AH29" s="72"/>
      <c r="AI29" s="72"/>
      <c r="AJ29" s="72"/>
      <c r="AK29" s="72"/>
      <c r="AL29" s="72"/>
      <c r="AM29" s="72"/>
      <c r="AN29" s="72"/>
      <c r="AO29" s="72"/>
      <c r="AP29" s="72"/>
      <c r="AQ29" s="72"/>
      <c r="AR29" s="72"/>
      <c r="AS29" s="72"/>
      <c r="AT29" s="72"/>
      <c r="AU29" s="72"/>
      <c r="AV29" s="72"/>
      <c r="AW29" s="72"/>
      <c r="AX29" s="72"/>
      <c r="AY29" s="72"/>
      <c r="AZ29" s="6" t="s">
        <v>3353</v>
      </c>
      <c r="BA29" s="72"/>
      <c r="BB29" s="72"/>
    </row>
    <row r="30" customFormat="false" ht="191.75" hidden="false" customHeight="false" outlineLevel="0" collapsed="false">
      <c r="A30" s="36" t="s">
        <v>371</v>
      </c>
      <c r="B30" s="6" t="s">
        <v>372</v>
      </c>
      <c r="C30" s="37" t="s">
        <v>108</v>
      </c>
      <c r="D30" s="6" t="s">
        <v>3436</v>
      </c>
      <c r="E30" s="72"/>
      <c r="F30" s="6" t="s">
        <v>3437</v>
      </c>
      <c r="G30" s="6" t="s">
        <v>3438</v>
      </c>
      <c r="H30" s="72"/>
      <c r="I30" s="6" t="s">
        <v>1187</v>
      </c>
      <c r="J30" s="6" t="s">
        <v>1218</v>
      </c>
      <c r="K30" s="6" t="s">
        <v>3439</v>
      </c>
      <c r="L30" s="72"/>
      <c r="M30" s="6" t="s">
        <v>3440</v>
      </c>
      <c r="N30" s="6" t="s">
        <v>3441</v>
      </c>
      <c r="O30" s="6" t="s">
        <v>1498</v>
      </c>
      <c r="P30" s="6" t="s">
        <v>1635</v>
      </c>
      <c r="Q30" s="72"/>
      <c r="R30" s="6" t="s">
        <v>3442</v>
      </c>
      <c r="S30" s="72"/>
      <c r="T30" s="72"/>
      <c r="U30" s="72"/>
      <c r="V30" s="72"/>
      <c r="W30" s="72"/>
      <c r="X30" s="6" t="s">
        <v>1973</v>
      </c>
      <c r="Y30" s="72"/>
      <c r="Z30" s="72"/>
      <c r="AA30" s="72"/>
      <c r="AB30" s="72"/>
      <c r="AC30" s="6" t="s">
        <v>3443</v>
      </c>
      <c r="AD30" s="6" t="s">
        <v>3444</v>
      </c>
      <c r="AE30" s="6" t="s">
        <v>3445</v>
      </c>
      <c r="AF30" s="72"/>
      <c r="AG30" s="6" t="s">
        <v>2335</v>
      </c>
      <c r="AH30" s="6" t="s">
        <v>3446</v>
      </c>
      <c r="AI30" s="6" t="s">
        <v>2467</v>
      </c>
      <c r="AJ30" s="6" t="s">
        <v>2478</v>
      </c>
      <c r="AK30" s="72"/>
      <c r="AL30" s="72"/>
      <c r="AM30" s="72"/>
      <c r="AN30" s="72"/>
      <c r="AO30" s="72"/>
      <c r="AP30" s="6" t="s">
        <v>2684</v>
      </c>
      <c r="AQ30" s="72"/>
      <c r="AR30" s="72"/>
      <c r="AS30" s="72"/>
      <c r="AT30" s="72"/>
      <c r="AU30" s="72"/>
      <c r="AV30" s="72"/>
      <c r="AW30" s="72"/>
      <c r="AX30" s="6" t="s">
        <v>3447</v>
      </c>
      <c r="AY30" s="72"/>
      <c r="AZ30" s="6" t="s">
        <v>3448</v>
      </c>
      <c r="BA30" s="72"/>
      <c r="BB30" s="6" t="s">
        <v>3449</v>
      </c>
    </row>
    <row r="31" customFormat="false" ht="158.2" hidden="false" customHeight="false" outlineLevel="0" collapsed="false">
      <c r="A31" s="36" t="s">
        <v>380</v>
      </c>
      <c r="B31" s="6" t="s">
        <v>381</v>
      </c>
      <c r="C31" s="37" t="s">
        <v>109</v>
      </c>
      <c r="D31" s="6" t="s">
        <v>3450</v>
      </c>
      <c r="E31" s="72"/>
      <c r="F31" s="6" t="s">
        <v>3451</v>
      </c>
      <c r="G31" s="6" t="s">
        <v>3357</v>
      </c>
      <c r="H31" s="72"/>
      <c r="I31" s="72"/>
      <c r="J31" s="6" t="s">
        <v>3452</v>
      </c>
      <c r="K31" s="6" t="s">
        <v>1247</v>
      </c>
      <c r="L31" s="6" t="s">
        <v>3453</v>
      </c>
      <c r="M31" s="6" t="s">
        <v>3454</v>
      </c>
      <c r="N31" s="6" t="s">
        <v>1479</v>
      </c>
      <c r="O31" s="6" t="s">
        <v>3455</v>
      </c>
      <c r="P31" s="6" t="s">
        <v>1635</v>
      </c>
      <c r="Q31" s="72"/>
      <c r="R31" s="6" t="s">
        <v>1660</v>
      </c>
      <c r="S31" s="72"/>
      <c r="T31" s="72"/>
      <c r="U31" s="72"/>
      <c r="V31" s="72"/>
      <c r="W31" s="72"/>
      <c r="X31" s="72"/>
      <c r="Y31" s="72"/>
      <c r="Z31" s="72"/>
      <c r="AA31" s="72"/>
      <c r="AB31" s="72"/>
      <c r="AC31" s="6" t="s">
        <v>2070</v>
      </c>
      <c r="AD31" s="6" t="s">
        <v>2102</v>
      </c>
      <c r="AE31" s="6" t="s">
        <v>3456</v>
      </c>
      <c r="AF31" s="72"/>
      <c r="AG31" s="72"/>
      <c r="AH31" s="72"/>
      <c r="AI31" s="72"/>
      <c r="AJ31" s="72"/>
      <c r="AK31" s="72"/>
      <c r="AL31" s="72"/>
      <c r="AM31" s="72"/>
      <c r="AN31" s="72"/>
      <c r="AO31" s="72"/>
      <c r="AP31" s="72"/>
      <c r="AQ31" s="72"/>
      <c r="AR31" s="72"/>
      <c r="AS31" s="72"/>
      <c r="AT31" s="72"/>
      <c r="AU31" s="72"/>
      <c r="AV31" s="72"/>
      <c r="AW31" s="72"/>
      <c r="AX31" s="72"/>
      <c r="AY31" s="72"/>
      <c r="AZ31" s="72"/>
      <c r="BA31" s="72"/>
      <c r="BB31" s="72"/>
    </row>
    <row r="32" customFormat="false" ht="158.2" hidden="false" customHeight="false" outlineLevel="0" collapsed="false">
      <c r="A32" s="36" t="s">
        <v>387</v>
      </c>
      <c r="B32" s="6" t="s">
        <v>388</v>
      </c>
      <c r="C32" s="37" t="s">
        <v>108</v>
      </c>
      <c r="D32" s="6" t="s">
        <v>3457</v>
      </c>
      <c r="E32" s="6" t="s">
        <v>796</v>
      </c>
      <c r="F32" s="6" t="s">
        <v>3458</v>
      </c>
      <c r="G32" s="6" t="s">
        <v>3191</v>
      </c>
      <c r="H32" s="72"/>
      <c r="I32" s="72"/>
      <c r="J32" s="6" t="s">
        <v>1218</v>
      </c>
      <c r="K32" s="6" t="s">
        <v>1245</v>
      </c>
      <c r="L32" s="6" t="s">
        <v>1272</v>
      </c>
      <c r="M32" s="6" t="s">
        <v>3459</v>
      </c>
      <c r="N32" s="6" t="s">
        <v>3460</v>
      </c>
      <c r="O32" s="6" t="s">
        <v>3430</v>
      </c>
      <c r="P32" s="6" t="s">
        <v>3461</v>
      </c>
      <c r="Q32" s="72"/>
      <c r="R32" s="6" t="s">
        <v>3462</v>
      </c>
      <c r="S32" s="72"/>
      <c r="T32" s="72"/>
      <c r="U32" s="72"/>
      <c r="V32" s="72"/>
      <c r="W32" s="72"/>
      <c r="X32" s="72"/>
      <c r="Y32" s="72"/>
      <c r="Z32" s="72"/>
      <c r="AA32" s="72"/>
      <c r="AB32" s="72"/>
      <c r="AC32" s="6" t="s">
        <v>3463</v>
      </c>
      <c r="AD32" s="6" t="s">
        <v>3464</v>
      </c>
      <c r="AE32" s="6" t="s">
        <v>3465</v>
      </c>
      <c r="AF32" s="6" t="s">
        <v>2281</v>
      </c>
      <c r="AG32" s="6" t="s">
        <v>2354</v>
      </c>
      <c r="AH32" s="6" t="s">
        <v>3466</v>
      </c>
      <c r="AI32" s="72"/>
      <c r="AJ32" s="72"/>
      <c r="AK32" s="72"/>
      <c r="AL32" s="72"/>
      <c r="AM32" s="72"/>
      <c r="AN32" s="72"/>
      <c r="AO32" s="72"/>
      <c r="AP32" s="72"/>
      <c r="AQ32" s="72"/>
      <c r="AR32" s="72"/>
      <c r="AS32" s="72"/>
      <c r="AT32" s="72"/>
      <c r="AU32" s="72"/>
      <c r="AV32" s="72"/>
      <c r="AW32" s="72"/>
      <c r="AX32" s="72"/>
      <c r="AY32" s="72"/>
      <c r="AZ32" s="72"/>
      <c r="BA32" s="72"/>
      <c r="BB32" s="72"/>
    </row>
    <row r="33" customFormat="false" ht="102.2" hidden="false" customHeight="false" outlineLevel="0" collapsed="false">
      <c r="A33" s="36" t="s">
        <v>395</v>
      </c>
      <c r="B33" s="6" t="s">
        <v>396</v>
      </c>
      <c r="C33" s="37" t="s">
        <v>109</v>
      </c>
      <c r="D33" s="6" t="s">
        <v>3467</v>
      </c>
      <c r="E33" s="72"/>
      <c r="F33" s="6" t="s">
        <v>3468</v>
      </c>
      <c r="G33" s="6" t="s">
        <v>3469</v>
      </c>
      <c r="H33" s="6" t="s">
        <v>1152</v>
      </c>
      <c r="I33" s="72"/>
      <c r="J33" s="6" t="s">
        <v>3470</v>
      </c>
      <c r="K33" s="72"/>
      <c r="L33" s="72"/>
      <c r="M33" s="6" t="s">
        <v>3471</v>
      </c>
      <c r="N33" s="6" t="s">
        <v>3472</v>
      </c>
      <c r="O33" s="6" t="s">
        <v>3473</v>
      </c>
      <c r="P33" s="6" t="s">
        <v>3196</v>
      </c>
      <c r="Q33" s="72"/>
      <c r="R33" s="6" t="s">
        <v>3474</v>
      </c>
      <c r="S33" s="72"/>
      <c r="T33" s="72"/>
      <c r="U33" s="72"/>
      <c r="V33" s="72"/>
      <c r="W33" s="72"/>
      <c r="X33" s="6" t="s">
        <v>1969</v>
      </c>
      <c r="Y33" s="72"/>
      <c r="Z33" s="72"/>
      <c r="AA33" s="72"/>
      <c r="AB33" s="72"/>
      <c r="AC33" s="6" t="s">
        <v>3375</v>
      </c>
      <c r="AD33" s="6" t="s">
        <v>3376</v>
      </c>
      <c r="AE33" s="6" t="s">
        <v>3475</v>
      </c>
      <c r="AF33" s="6" t="s">
        <v>2285</v>
      </c>
      <c r="AG33" s="72"/>
      <c r="AH33" s="72"/>
      <c r="AI33" s="6" t="s">
        <v>2467</v>
      </c>
      <c r="AJ33" s="6" t="s">
        <v>2481</v>
      </c>
      <c r="AK33" s="72"/>
      <c r="AL33" s="72"/>
      <c r="AM33" s="72"/>
      <c r="AN33" s="6" t="s">
        <v>2568</v>
      </c>
      <c r="AO33" s="72"/>
      <c r="AP33" s="6" t="s">
        <v>2662</v>
      </c>
      <c r="AQ33" s="6" t="s">
        <v>2708</v>
      </c>
      <c r="AR33" s="72"/>
      <c r="AS33" s="72"/>
      <c r="AT33" s="72"/>
      <c r="AU33" s="72"/>
      <c r="AV33" s="72"/>
      <c r="AW33" s="72"/>
      <c r="AX33" s="72"/>
      <c r="AY33" s="72"/>
      <c r="AZ33" s="6" t="s">
        <v>3476</v>
      </c>
      <c r="BA33" s="72"/>
      <c r="BB33" s="72"/>
    </row>
    <row r="34" customFormat="false" ht="135.8" hidden="false" customHeight="false" outlineLevel="0" collapsed="false">
      <c r="A34" s="36" t="s">
        <v>404</v>
      </c>
      <c r="B34" s="6" t="s">
        <v>405</v>
      </c>
      <c r="C34" s="37" t="s">
        <v>109</v>
      </c>
      <c r="D34" s="6" t="s">
        <v>3467</v>
      </c>
      <c r="E34" s="72"/>
      <c r="F34" s="6" t="s">
        <v>3477</v>
      </c>
      <c r="G34" s="6" t="s">
        <v>3478</v>
      </c>
      <c r="H34" s="72"/>
      <c r="I34" s="72"/>
      <c r="J34" s="6" t="s">
        <v>1210</v>
      </c>
      <c r="K34" s="72"/>
      <c r="L34" s="72"/>
      <c r="M34" s="6" t="s">
        <v>3479</v>
      </c>
      <c r="N34" s="6" t="s">
        <v>3480</v>
      </c>
      <c r="O34" s="6" t="s">
        <v>3481</v>
      </c>
      <c r="P34" s="6" t="s">
        <v>3482</v>
      </c>
      <c r="Q34" s="72"/>
      <c r="R34" s="6" t="s">
        <v>3483</v>
      </c>
      <c r="S34" s="72"/>
      <c r="T34" s="72"/>
      <c r="U34" s="6" t="s">
        <v>1931</v>
      </c>
      <c r="V34" s="72"/>
      <c r="W34" s="6" t="s">
        <v>1956</v>
      </c>
      <c r="X34" s="6" t="s">
        <v>1969</v>
      </c>
      <c r="Y34" s="6" t="s">
        <v>1991</v>
      </c>
      <c r="Z34" s="6" t="s">
        <v>1999</v>
      </c>
      <c r="AA34" s="72"/>
      <c r="AB34" s="6" t="s">
        <v>3484</v>
      </c>
      <c r="AC34" s="6" t="s">
        <v>3485</v>
      </c>
      <c r="AD34" s="6" t="s">
        <v>2102</v>
      </c>
      <c r="AE34" s="6" t="s">
        <v>2260</v>
      </c>
      <c r="AF34" s="6" t="s">
        <v>2299</v>
      </c>
      <c r="AG34" s="72"/>
      <c r="AH34" s="6" t="s">
        <v>2397</v>
      </c>
      <c r="AI34" s="72"/>
      <c r="AJ34" s="6" t="s">
        <v>2479</v>
      </c>
      <c r="AK34" s="72"/>
      <c r="AL34" s="72"/>
      <c r="AM34" s="72"/>
      <c r="AN34" s="6" t="s">
        <v>2579</v>
      </c>
      <c r="AO34" s="72"/>
      <c r="AP34" s="6" t="s">
        <v>2654</v>
      </c>
      <c r="AQ34" s="6" t="s">
        <v>3486</v>
      </c>
      <c r="AR34" s="6" t="s">
        <v>2773</v>
      </c>
      <c r="AS34" s="6" t="s">
        <v>3487</v>
      </c>
      <c r="AT34" s="72"/>
      <c r="AU34" s="72"/>
      <c r="AV34" s="72"/>
      <c r="AW34" s="72"/>
      <c r="AX34" s="72"/>
      <c r="AY34" s="6" t="s">
        <v>2983</v>
      </c>
      <c r="AZ34" s="6" t="s">
        <v>3488</v>
      </c>
      <c r="BA34" s="72"/>
      <c r="BB34" s="6" t="s">
        <v>3149</v>
      </c>
    </row>
    <row r="35" customFormat="false" ht="124.6" hidden="false" customHeight="false" outlineLevel="0" collapsed="false">
      <c r="A35" s="36" t="s">
        <v>413</v>
      </c>
      <c r="B35" s="6" t="s">
        <v>414</v>
      </c>
      <c r="C35" s="37" t="s">
        <v>109</v>
      </c>
      <c r="D35" s="6" t="s">
        <v>3467</v>
      </c>
      <c r="E35" s="72"/>
      <c r="F35" s="6" t="s">
        <v>3489</v>
      </c>
      <c r="G35" s="6" t="s">
        <v>3490</v>
      </c>
      <c r="H35" s="72"/>
      <c r="I35" s="72"/>
      <c r="J35" s="6" t="s">
        <v>3491</v>
      </c>
      <c r="K35" s="72"/>
      <c r="L35" s="72"/>
      <c r="M35" s="6" t="s">
        <v>3492</v>
      </c>
      <c r="N35" s="6" t="s">
        <v>3493</v>
      </c>
      <c r="O35" s="6" t="s">
        <v>3494</v>
      </c>
      <c r="P35" s="6" t="s">
        <v>3495</v>
      </c>
      <c r="Q35" s="72"/>
      <c r="R35" s="6" t="s">
        <v>3496</v>
      </c>
      <c r="S35" s="72"/>
      <c r="T35" s="72"/>
      <c r="U35" s="72"/>
      <c r="V35" s="72"/>
      <c r="W35" s="72"/>
      <c r="X35" s="72"/>
      <c r="Y35" s="6" t="s">
        <v>1993</v>
      </c>
      <c r="Z35" s="6" t="s">
        <v>3497</v>
      </c>
      <c r="AA35" s="72"/>
      <c r="AB35" s="72"/>
      <c r="AC35" s="6" t="s">
        <v>3498</v>
      </c>
      <c r="AD35" s="6" t="s">
        <v>3499</v>
      </c>
      <c r="AE35" s="6" t="s">
        <v>3500</v>
      </c>
      <c r="AF35" s="6" t="s">
        <v>3501</v>
      </c>
      <c r="AG35" s="72"/>
      <c r="AH35" s="72"/>
      <c r="AI35" s="72"/>
      <c r="AJ35" s="72"/>
      <c r="AK35" s="72"/>
      <c r="AL35" s="72"/>
      <c r="AM35" s="72"/>
      <c r="AN35" s="6" t="s">
        <v>2568</v>
      </c>
      <c r="AO35" s="72"/>
      <c r="AP35" s="72"/>
      <c r="AQ35" s="72"/>
      <c r="AR35" s="72"/>
      <c r="AS35" s="72"/>
      <c r="AT35" s="72"/>
      <c r="AU35" s="72"/>
      <c r="AV35" s="72"/>
      <c r="AW35" s="72"/>
      <c r="AX35" s="72"/>
      <c r="AY35" s="72"/>
      <c r="AZ35" s="6" t="s">
        <v>3502</v>
      </c>
      <c r="BA35" s="72"/>
      <c r="BB35" s="72"/>
    </row>
    <row r="36" customFormat="false" ht="270.1" hidden="false" customHeight="false" outlineLevel="0" collapsed="false">
      <c r="A36" s="36" t="s">
        <v>420</v>
      </c>
      <c r="B36" s="6" t="s">
        <v>421</v>
      </c>
      <c r="C36" s="37" t="s">
        <v>109</v>
      </c>
      <c r="D36" s="6" t="s">
        <v>3503</v>
      </c>
      <c r="E36" s="6" t="s">
        <v>3504</v>
      </c>
      <c r="F36" s="6" t="s">
        <v>3505</v>
      </c>
      <c r="G36" s="6" t="s">
        <v>3506</v>
      </c>
      <c r="H36" s="6" t="s">
        <v>1158</v>
      </c>
      <c r="I36" s="6" t="s">
        <v>1180</v>
      </c>
      <c r="J36" s="6" t="s">
        <v>1206</v>
      </c>
      <c r="K36" s="72"/>
      <c r="L36" s="6" t="s">
        <v>1270</v>
      </c>
      <c r="M36" s="6" t="s">
        <v>3507</v>
      </c>
      <c r="N36" s="6" t="s">
        <v>3508</v>
      </c>
      <c r="O36" s="6" t="s">
        <v>3509</v>
      </c>
      <c r="P36" s="6" t="s">
        <v>3510</v>
      </c>
      <c r="Q36" s="72"/>
      <c r="R36" s="6" t="s">
        <v>3511</v>
      </c>
      <c r="S36" s="72"/>
      <c r="T36" s="72"/>
      <c r="U36" s="72"/>
      <c r="V36" s="72"/>
      <c r="W36" s="72"/>
      <c r="X36" s="72"/>
      <c r="Y36" s="6" t="s">
        <v>1981</v>
      </c>
      <c r="Z36" s="72"/>
      <c r="AA36" s="72"/>
      <c r="AB36" s="6" t="s">
        <v>2023</v>
      </c>
      <c r="AC36" s="6" t="s">
        <v>3512</v>
      </c>
      <c r="AD36" s="6" t="s">
        <v>3513</v>
      </c>
      <c r="AE36" s="6" t="s">
        <v>3514</v>
      </c>
      <c r="AF36" s="6" t="s">
        <v>3515</v>
      </c>
      <c r="AG36" s="6" t="s">
        <v>3516</v>
      </c>
      <c r="AH36" s="6" t="s">
        <v>3517</v>
      </c>
      <c r="AI36" s="72"/>
      <c r="AJ36" s="72"/>
      <c r="AK36" s="72"/>
      <c r="AL36" s="72"/>
      <c r="AM36" s="72"/>
      <c r="AN36" s="72"/>
      <c r="AO36" s="72"/>
      <c r="AP36" s="72"/>
      <c r="AQ36" s="72"/>
      <c r="AR36" s="72"/>
      <c r="AS36" s="72"/>
      <c r="AT36" s="72"/>
      <c r="AU36" s="72"/>
      <c r="AV36" s="72"/>
      <c r="AW36" s="72"/>
      <c r="AX36" s="72"/>
      <c r="AY36" s="72"/>
      <c r="AZ36" s="6" t="s">
        <v>3330</v>
      </c>
      <c r="BA36" s="72"/>
      <c r="BB36" s="6" t="s">
        <v>3149</v>
      </c>
    </row>
    <row r="37" customFormat="false" ht="91" hidden="false" customHeight="false" outlineLevel="0" collapsed="false">
      <c r="A37" s="36" t="s">
        <v>428</v>
      </c>
      <c r="B37" s="6" t="s">
        <v>429</v>
      </c>
      <c r="C37" s="37" t="s">
        <v>109</v>
      </c>
      <c r="D37" s="6" t="s">
        <v>3518</v>
      </c>
      <c r="E37" s="6" t="s">
        <v>780</v>
      </c>
      <c r="F37" s="6" t="s">
        <v>3519</v>
      </c>
      <c r="G37" s="6" t="s">
        <v>3490</v>
      </c>
      <c r="H37" s="6" t="s">
        <v>1152</v>
      </c>
      <c r="I37" s="72"/>
      <c r="J37" s="6" t="s">
        <v>1206</v>
      </c>
      <c r="K37" s="72"/>
      <c r="L37" s="72"/>
      <c r="M37" s="6" t="s">
        <v>3520</v>
      </c>
      <c r="N37" s="6" t="s">
        <v>3521</v>
      </c>
      <c r="O37" s="72"/>
      <c r="P37" s="6" t="s">
        <v>1598</v>
      </c>
      <c r="Q37" s="72"/>
      <c r="R37" s="6" t="s">
        <v>3522</v>
      </c>
      <c r="S37" s="72"/>
      <c r="T37" s="72"/>
      <c r="U37" s="72"/>
      <c r="V37" s="72"/>
      <c r="W37" s="72"/>
      <c r="X37" s="6" t="s">
        <v>1969</v>
      </c>
      <c r="Y37" s="72"/>
      <c r="Z37" s="72"/>
      <c r="AA37" s="72"/>
      <c r="AB37" s="72"/>
      <c r="AC37" s="6" t="s">
        <v>3523</v>
      </c>
      <c r="AD37" s="6" t="s">
        <v>3524</v>
      </c>
      <c r="AE37" s="6" t="s">
        <v>3525</v>
      </c>
      <c r="AF37" s="6" t="s">
        <v>2313</v>
      </c>
      <c r="AG37" s="72"/>
      <c r="AH37" s="72"/>
      <c r="AI37" s="72"/>
      <c r="AJ37" s="72"/>
      <c r="AK37" s="72"/>
      <c r="AL37" s="72"/>
      <c r="AM37" s="72"/>
      <c r="AN37" s="6" t="s">
        <v>2568</v>
      </c>
      <c r="AO37" s="72"/>
      <c r="AP37" s="6" t="s">
        <v>3236</v>
      </c>
      <c r="AQ37" s="72"/>
      <c r="AR37" s="72"/>
      <c r="AS37" s="72"/>
      <c r="AT37" s="72"/>
      <c r="AU37" s="72"/>
      <c r="AV37" s="72"/>
      <c r="AW37" s="72"/>
      <c r="AX37" s="72"/>
      <c r="AY37" s="72"/>
      <c r="AZ37" s="6" t="s">
        <v>3526</v>
      </c>
      <c r="BA37" s="72"/>
      <c r="BB37" s="72"/>
    </row>
    <row r="38" customFormat="false" ht="314.9" hidden="false" customHeight="false" outlineLevel="0" collapsed="false">
      <c r="A38" s="36" t="s">
        <v>435</v>
      </c>
      <c r="B38" s="6" t="s">
        <v>436</v>
      </c>
      <c r="C38" s="37" t="s">
        <v>108</v>
      </c>
      <c r="D38" s="6" t="s">
        <v>3527</v>
      </c>
      <c r="E38" s="6" t="s">
        <v>757</v>
      </c>
      <c r="F38" s="6" t="s">
        <v>3528</v>
      </c>
      <c r="G38" s="6" t="s">
        <v>3529</v>
      </c>
      <c r="H38" s="72"/>
      <c r="I38" s="72"/>
      <c r="J38" s="72"/>
      <c r="K38" s="72"/>
      <c r="L38" s="72"/>
      <c r="M38" s="72"/>
      <c r="N38" s="72"/>
      <c r="O38" s="72"/>
      <c r="P38" s="6" t="s">
        <v>3530</v>
      </c>
      <c r="Q38" s="72"/>
      <c r="R38" s="6" t="s">
        <v>3531</v>
      </c>
      <c r="S38" s="72"/>
      <c r="T38" s="72"/>
      <c r="U38" s="72"/>
      <c r="V38" s="72"/>
      <c r="W38" s="72"/>
      <c r="X38" s="6" t="s">
        <v>1978</v>
      </c>
      <c r="Y38" s="6" t="s">
        <v>1985</v>
      </c>
      <c r="Z38" s="72"/>
      <c r="AA38" s="72"/>
      <c r="AB38" s="72"/>
      <c r="AC38" s="6" t="s">
        <v>3532</v>
      </c>
      <c r="AD38" s="6" t="s">
        <v>2138</v>
      </c>
      <c r="AE38" s="6" t="s">
        <v>3533</v>
      </c>
      <c r="AF38" s="6" t="s">
        <v>3534</v>
      </c>
      <c r="AG38" s="6" t="s">
        <v>3535</v>
      </c>
      <c r="AH38" s="6" t="s">
        <v>3536</v>
      </c>
      <c r="AI38" s="72"/>
      <c r="AJ38" s="72"/>
      <c r="AK38" s="72"/>
      <c r="AL38" s="6" t="s">
        <v>2503</v>
      </c>
      <c r="AM38" s="72"/>
      <c r="AN38" s="6" t="s">
        <v>2552</v>
      </c>
      <c r="AO38" s="72"/>
      <c r="AP38" s="6" t="s">
        <v>2631</v>
      </c>
      <c r="AQ38" s="72"/>
      <c r="AR38" s="72"/>
      <c r="AS38" s="72"/>
      <c r="AT38" s="72"/>
      <c r="AU38" s="72"/>
      <c r="AV38" s="72"/>
      <c r="AW38" s="72"/>
      <c r="AX38" s="72"/>
      <c r="AY38" s="72"/>
      <c r="AZ38" s="6" t="s">
        <v>3537</v>
      </c>
      <c r="BA38" s="72"/>
      <c r="BB38" s="6" t="s">
        <v>3153</v>
      </c>
    </row>
    <row r="39" customFormat="false" ht="348.5" hidden="false" customHeight="false" outlineLevel="0" collapsed="false">
      <c r="A39" s="36" t="s">
        <v>444</v>
      </c>
      <c r="B39" s="6" t="s">
        <v>445</v>
      </c>
      <c r="C39" s="37" t="s">
        <v>109</v>
      </c>
      <c r="D39" s="6" t="s">
        <v>3538</v>
      </c>
      <c r="E39" s="6" t="s">
        <v>3539</v>
      </c>
      <c r="F39" s="6" t="s">
        <v>3540</v>
      </c>
      <c r="G39" s="6" t="s">
        <v>3541</v>
      </c>
      <c r="H39" s="6" t="s">
        <v>3542</v>
      </c>
      <c r="I39" s="6" t="s">
        <v>1190</v>
      </c>
      <c r="J39" s="6" t="s">
        <v>3543</v>
      </c>
      <c r="K39" s="72"/>
      <c r="L39" s="72"/>
      <c r="M39" s="72"/>
      <c r="N39" s="6" t="s">
        <v>1489</v>
      </c>
      <c r="O39" s="6" t="s">
        <v>3544</v>
      </c>
      <c r="P39" s="6" t="s">
        <v>1627</v>
      </c>
      <c r="Q39" s="72"/>
      <c r="R39" s="6" t="s">
        <v>3545</v>
      </c>
      <c r="S39" s="72"/>
      <c r="T39" s="72"/>
      <c r="U39" s="72"/>
      <c r="V39" s="72"/>
      <c r="W39" s="72"/>
      <c r="X39" s="6" t="s">
        <v>3546</v>
      </c>
      <c r="Y39" s="6" t="s">
        <v>3547</v>
      </c>
      <c r="Z39" s="6" t="s">
        <v>2001</v>
      </c>
      <c r="AA39" s="6" t="s">
        <v>2013</v>
      </c>
      <c r="AB39" s="72"/>
      <c r="AC39" s="6" t="s">
        <v>3548</v>
      </c>
      <c r="AD39" s="6" t="s">
        <v>3549</v>
      </c>
      <c r="AE39" s="6" t="s">
        <v>3550</v>
      </c>
      <c r="AF39" s="6" t="s">
        <v>3551</v>
      </c>
      <c r="AG39" s="6" t="s">
        <v>3552</v>
      </c>
      <c r="AH39" s="6" t="s">
        <v>3553</v>
      </c>
      <c r="AI39" s="6" t="s">
        <v>2467</v>
      </c>
      <c r="AJ39" s="6" t="s">
        <v>2481</v>
      </c>
      <c r="AK39" s="6" t="s">
        <v>2499</v>
      </c>
      <c r="AL39" s="72"/>
      <c r="AM39" s="6" t="s">
        <v>2538</v>
      </c>
      <c r="AN39" s="6" t="s">
        <v>3554</v>
      </c>
      <c r="AO39" s="72"/>
      <c r="AP39" s="72"/>
      <c r="AQ39" s="6" t="s">
        <v>2702</v>
      </c>
      <c r="AR39" s="72"/>
      <c r="AS39" s="72"/>
      <c r="AT39" s="72"/>
      <c r="AU39" s="72"/>
      <c r="AV39" s="72"/>
      <c r="AW39" s="72"/>
      <c r="AX39" s="72"/>
      <c r="AY39" s="72"/>
      <c r="AZ39" s="6" t="s">
        <v>3555</v>
      </c>
      <c r="BA39" s="72"/>
      <c r="BB39" s="6" t="s">
        <v>3556</v>
      </c>
    </row>
    <row r="40" customFormat="false" ht="124.6" hidden="false" customHeight="false" outlineLevel="0" collapsed="false">
      <c r="A40" s="36" t="s">
        <v>453</v>
      </c>
      <c r="B40" s="6" t="s">
        <v>454</v>
      </c>
      <c r="C40" s="37" t="s">
        <v>108</v>
      </c>
      <c r="D40" s="6" t="s">
        <v>672</v>
      </c>
      <c r="E40" s="72"/>
      <c r="F40" s="6" t="s">
        <v>3557</v>
      </c>
      <c r="G40" s="6" t="s">
        <v>3558</v>
      </c>
      <c r="H40" s="72"/>
      <c r="I40" s="6" t="s">
        <v>1195</v>
      </c>
      <c r="J40" s="72"/>
      <c r="K40" s="72"/>
      <c r="L40" s="72"/>
      <c r="M40" s="72"/>
      <c r="N40" s="6" t="s">
        <v>1461</v>
      </c>
      <c r="O40" s="72"/>
      <c r="P40" s="6" t="s">
        <v>3559</v>
      </c>
      <c r="Q40" s="72"/>
      <c r="R40" s="6" t="s">
        <v>3560</v>
      </c>
      <c r="S40" s="72"/>
      <c r="T40" s="72"/>
      <c r="U40" s="72"/>
      <c r="V40" s="72"/>
      <c r="W40" s="72"/>
      <c r="X40" s="72"/>
      <c r="Y40" s="72"/>
      <c r="Z40" s="72"/>
      <c r="AA40" s="72"/>
      <c r="AB40" s="72"/>
      <c r="AC40" s="6" t="s">
        <v>3561</v>
      </c>
      <c r="AD40" s="6" t="s">
        <v>2142</v>
      </c>
      <c r="AE40" s="6" t="s">
        <v>3562</v>
      </c>
      <c r="AF40" s="6" t="s">
        <v>3563</v>
      </c>
      <c r="AG40" s="6" t="s">
        <v>2348</v>
      </c>
      <c r="AH40" s="72"/>
      <c r="AI40" s="72"/>
      <c r="AJ40" s="72"/>
      <c r="AK40" s="72"/>
      <c r="AL40" s="6" t="s">
        <v>2508</v>
      </c>
      <c r="AM40" s="72"/>
      <c r="AN40" s="6" t="s">
        <v>3564</v>
      </c>
      <c r="AO40" s="6" t="s">
        <v>2588</v>
      </c>
      <c r="AP40" s="6" t="s">
        <v>3565</v>
      </c>
      <c r="AQ40" s="6" t="s">
        <v>3566</v>
      </c>
      <c r="AR40" s="6" t="s">
        <v>2756</v>
      </c>
      <c r="AS40" s="6" t="s">
        <v>2840</v>
      </c>
      <c r="AT40" s="6" t="s">
        <v>3567</v>
      </c>
      <c r="AU40" s="6" t="s">
        <v>2874</v>
      </c>
      <c r="AV40" s="6" t="s">
        <v>2885</v>
      </c>
      <c r="AW40" s="6" t="s">
        <v>2925</v>
      </c>
      <c r="AX40" s="6" t="s">
        <v>3568</v>
      </c>
      <c r="AY40" s="6" t="s">
        <v>2981</v>
      </c>
      <c r="AZ40" s="6" t="s">
        <v>3569</v>
      </c>
      <c r="BA40" s="6" t="s">
        <v>3104</v>
      </c>
      <c r="BB40" s="72"/>
    </row>
    <row r="41" customFormat="false" ht="102.2" hidden="false" customHeight="false" outlineLevel="0" collapsed="false">
      <c r="A41" s="36" t="s">
        <v>462</v>
      </c>
      <c r="B41" s="6" t="s">
        <v>463</v>
      </c>
      <c r="C41" s="37" t="s">
        <v>108</v>
      </c>
      <c r="D41" s="72"/>
      <c r="E41" s="6" t="s">
        <v>3570</v>
      </c>
      <c r="F41" s="6" t="s">
        <v>3571</v>
      </c>
      <c r="G41" s="6" t="s">
        <v>3572</v>
      </c>
      <c r="H41" s="6" t="s">
        <v>1145</v>
      </c>
      <c r="I41" s="72"/>
      <c r="J41" s="6" t="s">
        <v>1232</v>
      </c>
      <c r="K41" s="72"/>
      <c r="L41" s="72"/>
      <c r="M41" s="6" t="s">
        <v>3573</v>
      </c>
      <c r="N41" s="6" t="s">
        <v>3574</v>
      </c>
      <c r="O41" s="6" t="s">
        <v>3575</v>
      </c>
      <c r="P41" s="6" t="s">
        <v>1598</v>
      </c>
      <c r="Q41" s="72"/>
      <c r="R41" s="6" t="s">
        <v>3576</v>
      </c>
      <c r="S41" s="72"/>
      <c r="T41" s="72"/>
      <c r="U41" s="72"/>
      <c r="V41" s="72"/>
      <c r="W41" s="72"/>
      <c r="X41" s="72"/>
      <c r="Y41" s="72"/>
      <c r="Z41" s="72"/>
      <c r="AA41" s="72"/>
      <c r="AB41" s="72"/>
      <c r="AC41" s="6" t="s">
        <v>3577</v>
      </c>
      <c r="AD41" s="72"/>
      <c r="AE41" s="6" t="s">
        <v>2148</v>
      </c>
      <c r="AF41" s="72"/>
      <c r="AG41" s="72"/>
      <c r="AH41" s="72"/>
      <c r="AI41" s="72"/>
      <c r="AJ41" s="72"/>
      <c r="AK41" s="72"/>
      <c r="AL41" s="72"/>
      <c r="AM41" s="72"/>
      <c r="AN41" s="6" t="s">
        <v>2556</v>
      </c>
      <c r="AO41" s="72"/>
      <c r="AP41" s="72"/>
      <c r="AQ41" s="72"/>
      <c r="AR41" s="72"/>
      <c r="AS41" s="72"/>
      <c r="AT41" s="72"/>
      <c r="AU41" s="72"/>
      <c r="AV41" s="72"/>
      <c r="AW41" s="72"/>
      <c r="AX41" s="72"/>
      <c r="AY41" s="72"/>
      <c r="AZ41" s="72"/>
      <c r="BA41" s="72"/>
      <c r="BB41" s="72"/>
    </row>
    <row r="42" customFormat="false" ht="225.35" hidden="false" customHeight="false" outlineLevel="0" collapsed="false">
      <c r="A42" s="36" t="s">
        <v>470</v>
      </c>
      <c r="B42" s="6" t="s">
        <v>471</v>
      </c>
      <c r="C42" s="37" t="s">
        <v>109</v>
      </c>
      <c r="D42" s="6" t="s">
        <v>3578</v>
      </c>
      <c r="E42" s="72"/>
      <c r="F42" s="6" t="s">
        <v>3579</v>
      </c>
      <c r="G42" s="6" t="s">
        <v>3580</v>
      </c>
      <c r="H42" s="72"/>
      <c r="I42" s="6" t="s">
        <v>1179</v>
      </c>
      <c r="J42" s="72"/>
      <c r="K42" s="72"/>
      <c r="L42" s="72"/>
      <c r="M42" s="72"/>
      <c r="N42" s="72"/>
      <c r="O42" s="72"/>
      <c r="P42" s="72"/>
      <c r="Q42" s="6" t="s">
        <v>3581</v>
      </c>
      <c r="R42" s="72"/>
      <c r="S42" s="6" t="s">
        <v>3581</v>
      </c>
      <c r="T42" s="72"/>
      <c r="U42" s="72"/>
      <c r="V42" s="72"/>
      <c r="W42" s="6" t="s">
        <v>1961</v>
      </c>
      <c r="X42" s="72"/>
      <c r="Y42" s="6" t="s">
        <v>1981</v>
      </c>
      <c r="Z42" s="72"/>
      <c r="AA42" s="72"/>
      <c r="AB42" s="72"/>
      <c r="AC42" s="6" t="s">
        <v>3582</v>
      </c>
      <c r="AD42" s="72"/>
      <c r="AE42" s="6" t="s">
        <v>3583</v>
      </c>
      <c r="AF42" s="6" t="s">
        <v>3584</v>
      </c>
      <c r="AG42" s="6" t="s">
        <v>3585</v>
      </c>
      <c r="AH42" s="6" t="s">
        <v>3586</v>
      </c>
      <c r="AI42" s="6" t="s">
        <v>2471</v>
      </c>
      <c r="AJ42" s="6" t="s">
        <v>2472</v>
      </c>
      <c r="AK42" s="6" t="s">
        <v>2493</v>
      </c>
      <c r="AL42" s="72"/>
      <c r="AM42" s="6" t="s">
        <v>2544</v>
      </c>
      <c r="AN42" s="6" t="s">
        <v>3587</v>
      </c>
      <c r="AO42" s="72"/>
      <c r="AP42" s="6" t="s">
        <v>3588</v>
      </c>
      <c r="AQ42" s="6" t="s">
        <v>3589</v>
      </c>
      <c r="AR42" s="6" t="s">
        <v>3590</v>
      </c>
      <c r="AS42" s="6" t="s">
        <v>3591</v>
      </c>
      <c r="AT42" s="6" t="s">
        <v>2855</v>
      </c>
      <c r="AU42" s="6" t="s">
        <v>2869</v>
      </c>
      <c r="AV42" s="6" t="s">
        <v>3271</v>
      </c>
      <c r="AW42" s="6" t="s">
        <v>2919</v>
      </c>
      <c r="AX42" s="6" t="s">
        <v>3592</v>
      </c>
      <c r="AY42" s="6" t="s">
        <v>3593</v>
      </c>
      <c r="AZ42" s="6" t="s">
        <v>3594</v>
      </c>
      <c r="BA42" s="6" t="s">
        <v>3595</v>
      </c>
      <c r="BB42" s="6" t="s">
        <v>3596</v>
      </c>
    </row>
    <row r="43" customFormat="false" ht="214.15" hidden="false" customHeight="false" outlineLevel="0" collapsed="false">
      <c r="A43" s="36" t="s">
        <v>478</v>
      </c>
      <c r="B43" s="6" t="s">
        <v>479</v>
      </c>
      <c r="C43" s="37" t="s">
        <v>109</v>
      </c>
      <c r="D43" s="6" t="s">
        <v>3597</v>
      </c>
      <c r="E43" s="6" t="s">
        <v>749</v>
      </c>
      <c r="F43" s="6" t="s">
        <v>3598</v>
      </c>
      <c r="G43" s="6" t="s">
        <v>3599</v>
      </c>
      <c r="H43" s="72"/>
      <c r="I43" s="6" t="s">
        <v>1190</v>
      </c>
      <c r="J43" s="72"/>
      <c r="K43" s="72"/>
      <c r="L43" s="72"/>
      <c r="M43" s="72"/>
      <c r="N43" s="72"/>
      <c r="O43" s="72"/>
      <c r="P43" s="72"/>
      <c r="Q43" s="6" t="s">
        <v>3600</v>
      </c>
      <c r="R43" s="6" t="s">
        <v>3601</v>
      </c>
      <c r="S43" s="6" t="s">
        <v>1695</v>
      </c>
      <c r="T43" s="72"/>
      <c r="U43" s="72"/>
      <c r="V43" s="6" t="s">
        <v>3602</v>
      </c>
      <c r="W43" s="72"/>
      <c r="X43" s="72"/>
      <c r="Y43" s="72"/>
      <c r="Z43" s="72"/>
      <c r="AA43" s="72"/>
      <c r="AB43" s="72"/>
      <c r="AC43" s="6" t="s">
        <v>3603</v>
      </c>
      <c r="AD43" s="72"/>
      <c r="AE43" s="6" t="s">
        <v>3604</v>
      </c>
      <c r="AF43" s="72"/>
      <c r="AG43" s="72"/>
      <c r="AH43" s="72"/>
      <c r="AI43" s="6" t="s">
        <v>2471</v>
      </c>
      <c r="AJ43" s="6" t="s">
        <v>2472</v>
      </c>
      <c r="AK43" s="6" t="s">
        <v>2495</v>
      </c>
      <c r="AL43" s="72"/>
      <c r="AM43" s="6" t="s">
        <v>2530</v>
      </c>
      <c r="AN43" s="72"/>
      <c r="AO43" s="72"/>
      <c r="AP43" s="6" t="s">
        <v>3605</v>
      </c>
      <c r="AQ43" s="6" t="s">
        <v>2702</v>
      </c>
      <c r="AR43" s="6" t="s">
        <v>2769</v>
      </c>
      <c r="AS43" s="6" t="s">
        <v>3606</v>
      </c>
      <c r="AT43" s="72"/>
      <c r="AU43" s="72"/>
      <c r="AV43" s="6" t="s">
        <v>2898</v>
      </c>
      <c r="AW43" s="72"/>
      <c r="AX43" s="6" t="s">
        <v>3607</v>
      </c>
      <c r="AY43" s="72"/>
      <c r="AZ43" s="6" t="s">
        <v>3608</v>
      </c>
      <c r="BA43" s="72"/>
      <c r="BB43" s="6" t="s">
        <v>3153</v>
      </c>
    </row>
    <row r="44" customFormat="false" ht="124.6" hidden="false" customHeight="false" outlineLevel="0" collapsed="false">
      <c r="A44" s="36" t="s">
        <v>486</v>
      </c>
      <c r="B44" s="6" t="s">
        <v>487</v>
      </c>
      <c r="C44" s="37" t="s">
        <v>109</v>
      </c>
      <c r="D44" s="6" t="s">
        <v>3609</v>
      </c>
      <c r="E44" s="6" t="s">
        <v>3610</v>
      </c>
      <c r="F44" s="6" t="s">
        <v>3611</v>
      </c>
      <c r="G44" s="6" t="s">
        <v>3612</v>
      </c>
      <c r="H44" s="6" t="s">
        <v>3613</v>
      </c>
      <c r="I44" s="6" t="s">
        <v>1195</v>
      </c>
      <c r="J44" s="6" t="s">
        <v>1230</v>
      </c>
      <c r="K44" s="72"/>
      <c r="L44" s="72"/>
      <c r="M44" s="6" t="s">
        <v>3614</v>
      </c>
      <c r="N44" s="6" t="s">
        <v>3615</v>
      </c>
      <c r="O44" s="6" t="s">
        <v>1543</v>
      </c>
      <c r="P44" s="6" t="s">
        <v>3616</v>
      </c>
      <c r="Q44" s="72"/>
      <c r="R44" s="72"/>
      <c r="S44" s="72"/>
      <c r="T44" s="72"/>
      <c r="U44" s="72"/>
      <c r="V44" s="72"/>
      <c r="W44" s="72"/>
      <c r="X44" s="6" t="s">
        <v>3617</v>
      </c>
      <c r="Y44" s="72"/>
      <c r="Z44" s="72"/>
      <c r="AA44" s="6" t="s">
        <v>2013</v>
      </c>
      <c r="AB44" s="72"/>
      <c r="AC44" s="72"/>
      <c r="AD44" s="72"/>
      <c r="AE44" s="6" t="s">
        <v>3618</v>
      </c>
      <c r="AF44" s="72"/>
      <c r="AG44" s="72"/>
      <c r="AH44" s="6" t="s">
        <v>2444</v>
      </c>
      <c r="AI44" s="6" t="s">
        <v>2463</v>
      </c>
      <c r="AJ44" s="6" t="s">
        <v>2484</v>
      </c>
      <c r="AK44" s="6" t="s">
        <v>2464</v>
      </c>
      <c r="AL44" s="6" t="s">
        <v>2508</v>
      </c>
      <c r="AM44" s="6" t="s">
        <v>3619</v>
      </c>
      <c r="AN44" s="6" t="s">
        <v>3620</v>
      </c>
      <c r="AO44" s="72"/>
      <c r="AP44" s="6" t="s">
        <v>3621</v>
      </c>
      <c r="AQ44" s="6" t="s">
        <v>3622</v>
      </c>
      <c r="AR44" s="6" t="s">
        <v>3623</v>
      </c>
      <c r="AS44" s="6" t="s">
        <v>3624</v>
      </c>
      <c r="AT44" s="6" t="s">
        <v>3625</v>
      </c>
      <c r="AU44" s="6" t="s">
        <v>2878</v>
      </c>
      <c r="AV44" s="6" t="s">
        <v>3626</v>
      </c>
      <c r="AW44" s="6" t="s">
        <v>3627</v>
      </c>
      <c r="AX44" s="6" t="s">
        <v>3628</v>
      </c>
      <c r="AY44" s="6" t="s">
        <v>2977</v>
      </c>
      <c r="AZ44" s="6" t="s">
        <v>3629</v>
      </c>
      <c r="BA44" s="6" t="s">
        <v>3090</v>
      </c>
      <c r="BB44" s="6" t="s">
        <v>3108</v>
      </c>
    </row>
    <row r="45" customFormat="false" ht="236.55" hidden="false" customHeight="false" outlineLevel="0" collapsed="false">
      <c r="A45" s="36" t="s">
        <v>495</v>
      </c>
      <c r="B45" s="6" t="s">
        <v>496</v>
      </c>
      <c r="C45" s="37" t="s">
        <v>109</v>
      </c>
      <c r="D45" s="6" t="s">
        <v>3630</v>
      </c>
      <c r="E45" s="6" t="s">
        <v>769</v>
      </c>
      <c r="F45" s="6" t="s">
        <v>3631</v>
      </c>
      <c r="G45" s="6" t="s">
        <v>3632</v>
      </c>
      <c r="H45" s="72"/>
      <c r="I45" s="72"/>
      <c r="J45" s="72"/>
      <c r="K45" s="72"/>
      <c r="L45" s="72"/>
      <c r="M45" s="6" t="s">
        <v>1309</v>
      </c>
      <c r="N45" s="6" t="s">
        <v>1491</v>
      </c>
      <c r="O45" s="6" t="s">
        <v>1517</v>
      </c>
      <c r="P45" s="6" t="s">
        <v>3633</v>
      </c>
      <c r="Q45" s="72"/>
      <c r="R45" s="6" t="s">
        <v>3634</v>
      </c>
      <c r="S45" s="72"/>
      <c r="T45" s="72"/>
      <c r="U45" s="72"/>
      <c r="V45" s="72"/>
      <c r="W45" s="72"/>
      <c r="X45" s="72"/>
      <c r="Y45" s="6" t="s">
        <v>1987</v>
      </c>
      <c r="Z45" s="72"/>
      <c r="AA45" s="6" t="s">
        <v>2013</v>
      </c>
      <c r="AB45" s="72"/>
      <c r="AC45" s="6" t="s">
        <v>3635</v>
      </c>
      <c r="AD45" s="6" t="s">
        <v>2125</v>
      </c>
      <c r="AE45" s="6" t="s">
        <v>3636</v>
      </c>
      <c r="AF45" s="72"/>
      <c r="AG45" s="72"/>
      <c r="AH45" s="72"/>
      <c r="AI45" s="6" t="s">
        <v>2467</v>
      </c>
      <c r="AJ45" s="6" t="s">
        <v>2481</v>
      </c>
      <c r="AK45" s="6" t="s">
        <v>2499</v>
      </c>
      <c r="AL45" s="72"/>
      <c r="AM45" s="6" t="s">
        <v>2538</v>
      </c>
      <c r="AN45" s="72"/>
      <c r="AO45" s="72"/>
      <c r="AP45" s="72"/>
      <c r="AQ45" s="72"/>
      <c r="AR45" s="72"/>
      <c r="AS45" s="72"/>
      <c r="AT45" s="72"/>
      <c r="AU45" s="72"/>
      <c r="AV45" s="72"/>
      <c r="AW45" s="72"/>
      <c r="AX45" s="72"/>
      <c r="AY45" s="72"/>
      <c r="AZ45" s="6" t="s">
        <v>3637</v>
      </c>
      <c r="BA45" s="72"/>
      <c r="BB45" s="6" t="s">
        <v>3153</v>
      </c>
    </row>
    <row r="46" customFormat="false" ht="102.2" hidden="false" customHeight="false" outlineLevel="0" collapsed="false">
      <c r="A46" s="36" t="s">
        <v>504</v>
      </c>
      <c r="B46" s="6" t="s">
        <v>505</v>
      </c>
      <c r="C46" s="37" t="s">
        <v>109</v>
      </c>
      <c r="D46" s="6" t="s">
        <v>3638</v>
      </c>
      <c r="E46" s="6" t="s">
        <v>749</v>
      </c>
      <c r="F46" s="6" t="s">
        <v>3639</v>
      </c>
      <c r="G46" s="6" t="s">
        <v>3640</v>
      </c>
      <c r="H46" s="6" t="s">
        <v>1147</v>
      </c>
      <c r="I46" s="6" t="s">
        <v>1171</v>
      </c>
      <c r="J46" s="72"/>
      <c r="K46" s="72"/>
      <c r="L46" s="72"/>
      <c r="M46" s="72"/>
      <c r="N46" s="72"/>
      <c r="O46" s="72"/>
      <c r="P46" s="6" t="s">
        <v>3641</v>
      </c>
      <c r="Q46" s="72"/>
      <c r="R46" s="72"/>
      <c r="S46" s="72"/>
      <c r="T46" s="72"/>
      <c r="U46" s="6" t="s">
        <v>1938</v>
      </c>
      <c r="V46" s="72"/>
      <c r="W46" s="72"/>
      <c r="X46" s="6" t="s">
        <v>3617</v>
      </c>
      <c r="Y46" s="72"/>
      <c r="Z46" s="72"/>
      <c r="AA46" s="6" t="s">
        <v>2013</v>
      </c>
      <c r="AB46" s="72"/>
      <c r="AC46" s="72"/>
      <c r="AD46" s="72"/>
      <c r="AE46" s="72"/>
      <c r="AF46" s="72"/>
      <c r="AG46" s="72"/>
      <c r="AH46" s="72"/>
      <c r="AI46" s="6" t="s">
        <v>3306</v>
      </c>
      <c r="AJ46" s="6" t="s">
        <v>3642</v>
      </c>
      <c r="AK46" s="6" t="s">
        <v>3643</v>
      </c>
      <c r="AL46" s="6" t="s">
        <v>3644</v>
      </c>
      <c r="AM46" s="6" t="s">
        <v>2534</v>
      </c>
      <c r="AN46" s="72"/>
      <c r="AO46" s="6" t="s">
        <v>2583</v>
      </c>
      <c r="AP46" s="6" t="s">
        <v>3645</v>
      </c>
      <c r="AQ46" s="72"/>
      <c r="AR46" s="6" t="s">
        <v>3646</v>
      </c>
      <c r="AS46" s="6" t="s">
        <v>3647</v>
      </c>
      <c r="AT46" s="6" t="s">
        <v>3625</v>
      </c>
      <c r="AU46" s="6" t="s">
        <v>2869</v>
      </c>
      <c r="AV46" s="6" t="s">
        <v>2888</v>
      </c>
      <c r="AW46" s="6" t="s">
        <v>2919</v>
      </c>
      <c r="AX46" s="6" t="s">
        <v>3648</v>
      </c>
      <c r="AY46" s="6" t="s">
        <v>2977</v>
      </c>
      <c r="AZ46" s="6" t="s">
        <v>3649</v>
      </c>
      <c r="BA46" s="6" t="s">
        <v>3092</v>
      </c>
      <c r="BB46" s="6" t="s">
        <v>3650</v>
      </c>
    </row>
    <row r="47" customFormat="false" ht="180.55" hidden="false" customHeight="false" outlineLevel="0" collapsed="false">
      <c r="A47" s="36" t="s">
        <v>513</v>
      </c>
      <c r="B47" s="6" t="s">
        <v>514</v>
      </c>
      <c r="C47" s="37" t="s">
        <v>109</v>
      </c>
      <c r="D47" s="6" t="s">
        <v>3651</v>
      </c>
      <c r="E47" s="72"/>
      <c r="F47" s="6" t="s">
        <v>3652</v>
      </c>
      <c r="G47" s="6" t="s">
        <v>3653</v>
      </c>
      <c r="H47" s="6" t="s">
        <v>1142</v>
      </c>
      <c r="I47" s="6" t="s">
        <v>1174</v>
      </c>
      <c r="J47" s="72"/>
      <c r="K47" s="72"/>
      <c r="L47" s="72"/>
      <c r="M47" s="72"/>
      <c r="N47" s="72"/>
      <c r="O47" s="72"/>
      <c r="P47" s="6" t="s">
        <v>3654</v>
      </c>
      <c r="Q47" s="72"/>
      <c r="R47" s="6" t="s">
        <v>3655</v>
      </c>
      <c r="S47" s="72"/>
      <c r="T47" s="72"/>
      <c r="U47" s="6" t="s">
        <v>3656</v>
      </c>
      <c r="V47" s="72"/>
      <c r="W47" s="72"/>
      <c r="X47" s="72"/>
      <c r="Y47" s="72"/>
      <c r="Z47" s="72"/>
      <c r="AA47" s="72"/>
      <c r="AB47" s="72"/>
      <c r="AC47" s="6" t="s">
        <v>3657</v>
      </c>
      <c r="AD47" s="72"/>
      <c r="AE47" s="6" t="s">
        <v>2176</v>
      </c>
      <c r="AF47" s="72"/>
      <c r="AG47" s="72"/>
      <c r="AH47" s="6" t="s">
        <v>2397</v>
      </c>
      <c r="AI47" s="6" t="s">
        <v>2459</v>
      </c>
      <c r="AJ47" s="72"/>
      <c r="AK47" s="6" t="s">
        <v>2493</v>
      </c>
      <c r="AL47" s="6" t="s">
        <v>3658</v>
      </c>
      <c r="AM47" s="6" t="s">
        <v>3659</v>
      </c>
      <c r="AN47" s="72"/>
      <c r="AO47" s="6" t="s">
        <v>2591</v>
      </c>
      <c r="AP47" s="72"/>
      <c r="AQ47" s="72"/>
      <c r="AR47" s="6" t="s">
        <v>2785</v>
      </c>
      <c r="AS47" s="72"/>
      <c r="AT47" s="72"/>
      <c r="AU47" s="72"/>
      <c r="AV47" s="72"/>
      <c r="AW47" s="72"/>
      <c r="AX47" s="72"/>
      <c r="AY47" s="72"/>
      <c r="AZ47" s="72"/>
      <c r="BA47" s="72"/>
      <c r="BB47" s="72"/>
    </row>
    <row r="48" customFormat="false" ht="124.6" hidden="false" customHeight="false" outlineLevel="0" collapsed="false">
      <c r="A48" s="36" t="s">
        <v>522</v>
      </c>
      <c r="B48" s="6" t="s">
        <v>523</v>
      </c>
      <c r="C48" s="37" t="s">
        <v>109</v>
      </c>
      <c r="D48" s="6" t="s">
        <v>680</v>
      </c>
      <c r="E48" s="72"/>
      <c r="F48" s="6" t="s">
        <v>3660</v>
      </c>
      <c r="G48" s="6" t="s">
        <v>3661</v>
      </c>
      <c r="H48" s="72"/>
      <c r="I48" s="6" t="s">
        <v>1165</v>
      </c>
      <c r="J48" s="72"/>
      <c r="K48" s="72"/>
      <c r="L48" s="72"/>
      <c r="M48" s="72"/>
      <c r="N48" s="72"/>
      <c r="O48" s="72"/>
      <c r="P48" s="6" t="s">
        <v>3662</v>
      </c>
      <c r="Q48" s="6" t="s">
        <v>1683</v>
      </c>
      <c r="R48" s="6" t="s">
        <v>3663</v>
      </c>
      <c r="S48" s="72"/>
      <c r="T48" s="72"/>
      <c r="U48" s="72"/>
      <c r="V48" s="72"/>
      <c r="W48" s="6" t="s">
        <v>1954</v>
      </c>
      <c r="X48" s="72"/>
      <c r="Y48" s="72"/>
      <c r="Z48" s="72"/>
      <c r="AA48" s="72"/>
      <c r="AB48" s="72"/>
      <c r="AC48" s="6" t="s">
        <v>3664</v>
      </c>
      <c r="AD48" s="6" t="s">
        <v>2142</v>
      </c>
      <c r="AE48" s="6" t="s">
        <v>2172</v>
      </c>
      <c r="AF48" s="72"/>
      <c r="AG48" s="72"/>
      <c r="AH48" s="72"/>
      <c r="AI48" s="72"/>
      <c r="AJ48" s="72"/>
      <c r="AK48" s="6" t="s">
        <v>2490</v>
      </c>
      <c r="AL48" s="72"/>
      <c r="AM48" s="6" t="s">
        <v>2550</v>
      </c>
      <c r="AN48" s="6" t="s">
        <v>2562</v>
      </c>
      <c r="AO48" s="6" t="s">
        <v>2588</v>
      </c>
      <c r="AP48" s="72"/>
      <c r="AQ48" s="72"/>
      <c r="AR48" s="72"/>
      <c r="AS48" s="72"/>
      <c r="AT48" s="72"/>
      <c r="AU48" s="72"/>
      <c r="AV48" s="72"/>
      <c r="AW48" s="72"/>
      <c r="AX48" s="72"/>
      <c r="AY48" s="72"/>
      <c r="AZ48" s="72"/>
      <c r="BA48" s="72"/>
      <c r="BB48" s="72"/>
    </row>
    <row r="49" customFormat="false" ht="158.2" hidden="false" customHeight="false" outlineLevel="0" collapsed="false">
      <c r="A49" s="36" t="s">
        <v>530</v>
      </c>
      <c r="B49" s="6" t="s">
        <v>531</v>
      </c>
      <c r="C49" s="37" t="s">
        <v>109</v>
      </c>
      <c r="D49" s="6" t="s">
        <v>684</v>
      </c>
      <c r="E49" s="72"/>
      <c r="F49" s="6" t="s">
        <v>3665</v>
      </c>
      <c r="G49" s="6" t="s">
        <v>3666</v>
      </c>
      <c r="H49" s="6" t="s">
        <v>1149</v>
      </c>
      <c r="I49" s="6" t="s">
        <v>1178</v>
      </c>
      <c r="J49" s="72"/>
      <c r="K49" s="72"/>
      <c r="L49" s="72"/>
      <c r="M49" s="72"/>
      <c r="N49" s="72"/>
      <c r="O49" s="72"/>
      <c r="P49" s="6" t="s">
        <v>1602</v>
      </c>
      <c r="Q49" s="6" t="s">
        <v>3667</v>
      </c>
      <c r="R49" s="6" t="s">
        <v>1801</v>
      </c>
      <c r="S49" s="72"/>
      <c r="T49" s="72"/>
      <c r="U49" s="72"/>
      <c r="V49" s="72"/>
      <c r="W49" s="6" t="s">
        <v>1955</v>
      </c>
      <c r="X49" s="72"/>
      <c r="Y49" s="72"/>
      <c r="Z49" s="72"/>
      <c r="AA49" s="72"/>
      <c r="AB49" s="72"/>
      <c r="AC49" s="6" t="s">
        <v>2068</v>
      </c>
      <c r="AD49" s="6" t="s">
        <v>2133</v>
      </c>
      <c r="AE49" s="6" t="s">
        <v>3668</v>
      </c>
      <c r="AF49" s="6" t="s">
        <v>2275</v>
      </c>
      <c r="AG49" s="72"/>
      <c r="AH49" s="6" t="s">
        <v>2383</v>
      </c>
      <c r="AI49" s="72"/>
      <c r="AJ49" s="72"/>
      <c r="AK49" s="6" t="s">
        <v>2486</v>
      </c>
      <c r="AL49" s="72"/>
      <c r="AM49" s="6" t="s">
        <v>2548</v>
      </c>
      <c r="AN49" s="72"/>
      <c r="AO49" s="72"/>
      <c r="AP49" s="72"/>
      <c r="AQ49" s="72"/>
      <c r="AR49" s="72"/>
      <c r="AS49" s="72"/>
      <c r="AT49" s="72"/>
      <c r="AU49" s="72"/>
      <c r="AV49" s="72"/>
      <c r="AW49" s="72"/>
      <c r="AX49" s="72"/>
      <c r="AY49" s="72"/>
      <c r="AZ49" s="6" t="s">
        <v>3669</v>
      </c>
      <c r="BA49" s="72"/>
      <c r="BB49" s="6" t="s">
        <v>3147</v>
      </c>
    </row>
    <row r="50" customFormat="false" ht="348.5" hidden="false" customHeight="false" outlineLevel="0" collapsed="false">
      <c r="A50" s="36" t="s">
        <v>539</v>
      </c>
      <c r="B50" s="6" t="s">
        <v>540</v>
      </c>
      <c r="C50" s="37" t="s">
        <v>109</v>
      </c>
      <c r="D50" s="6" t="s">
        <v>3670</v>
      </c>
      <c r="E50" s="6" t="s">
        <v>3671</v>
      </c>
      <c r="F50" s="6" t="s">
        <v>3672</v>
      </c>
      <c r="G50" s="6" t="s">
        <v>3413</v>
      </c>
      <c r="H50" s="6" t="s">
        <v>3673</v>
      </c>
      <c r="I50" s="6" t="s">
        <v>3674</v>
      </c>
      <c r="J50" s="6" t="s">
        <v>1218</v>
      </c>
      <c r="K50" s="6" t="s">
        <v>1254</v>
      </c>
      <c r="L50" s="72"/>
      <c r="M50" s="72"/>
      <c r="N50" s="6" t="s">
        <v>1475</v>
      </c>
      <c r="O50" s="6" t="s">
        <v>1543</v>
      </c>
      <c r="P50" s="6" t="s">
        <v>3415</v>
      </c>
      <c r="Q50" s="72"/>
      <c r="R50" s="72"/>
      <c r="S50" s="72"/>
      <c r="T50" s="72"/>
      <c r="U50" s="72"/>
      <c r="V50" s="72"/>
      <c r="W50" s="6" t="s">
        <v>1959</v>
      </c>
      <c r="X50" s="6" t="s">
        <v>1973</v>
      </c>
      <c r="Y50" s="72"/>
      <c r="Z50" s="72"/>
      <c r="AA50" s="6" t="s">
        <v>2013</v>
      </c>
      <c r="AB50" s="72"/>
      <c r="AC50" s="6" t="s">
        <v>2047</v>
      </c>
      <c r="AD50" s="72"/>
      <c r="AE50" s="72"/>
      <c r="AF50" s="72"/>
      <c r="AG50" s="72"/>
      <c r="AH50" s="6" t="s">
        <v>3675</v>
      </c>
      <c r="AI50" s="6" t="s">
        <v>2459</v>
      </c>
      <c r="AJ50" s="6" t="s">
        <v>2478</v>
      </c>
      <c r="AK50" s="6" t="s">
        <v>2488</v>
      </c>
      <c r="AL50" s="72"/>
      <c r="AM50" s="6" t="s">
        <v>3676</v>
      </c>
      <c r="AN50" s="72"/>
      <c r="AO50" s="6" t="s">
        <v>2583</v>
      </c>
      <c r="AP50" s="72"/>
      <c r="AQ50" s="72"/>
      <c r="AR50" s="72"/>
      <c r="AS50" s="72"/>
      <c r="AT50" s="72"/>
      <c r="AU50" s="72"/>
      <c r="AV50" s="72"/>
      <c r="AW50" s="72"/>
      <c r="AX50" s="6" t="s">
        <v>3447</v>
      </c>
      <c r="AY50" s="72"/>
      <c r="AZ50" s="6" t="s">
        <v>3677</v>
      </c>
      <c r="BA50" s="72"/>
      <c r="BB50" s="6" t="s">
        <v>3678</v>
      </c>
    </row>
    <row r="51" customFormat="false" ht="35.05" hidden="false" customHeight="false" outlineLevel="0" collapsed="false">
      <c r="A51" s="36" t="s">
        <v>549</v>
      </c>
      <c r="B51" s="6" t="s">
        <v>550</v>
      </c>
      <c r="C51" s="37" t="s">
        <v>109</v>
      </c>
      <c r="D51" s="6" t="s">
        <v>689</v>
      </c>
      <c r="E51" s="6" t="s">
        <v>765</v>
      </c>
      <c r="F51" s="6" t="s">
        <v>3679</v>
      </c>
      <c r="G51" s="6" t="s">
        <v>1086</v>
      </c>
      <c r="H51" s="6" t="s">
        <v>1155</v>
      </c>
      <c r="I51" s="72"/>
      <c r="J51" s="72"/>
      <c r="K51" s="72"/>
      <c r="L51" s="72"/>
      <c r="M51" s="72"/>
      <c r="N51" s="72"/>
      <c r="O51" s="72"/>
      <c r="P51" s="6" t="s">
        <v>3680</v>
      </c>
      <c r="Q51" s="72"/>
      <c r="R51" s="6" t="s">
        <v>3681</v>
      </c>
      <c r="S51" s="72"/>
      <c r="T51" s="72"/>
      <c r="U51" s="72"/>
      <c r="V51" s="72"/>
      <c r="W51" s="72"/>
      <c r="X51" s="72"/>
      <c r="Y51" s="72"/>
      <c r="Z51" s="72"/>
      <c r="AA51" s="72"/>
      <c r="AB51" s="72"/>
      <c r="AC51" s="6" t="s">
        <v>2039</v>
      </c>
      <c r="AD51" s="72"/>
      <c r="AE51" s="72"/>
      <c r="AF51" s="72"/>
      <c r="AG51" s="72"/>
      <c r="AH51" s="72"/>
      <c r="AI51" s="72"/>
      <c r="AJ51" s="72"/>
      <c r="AK51" s="72"/>
      <c r="AL51" s="72"/>
      <c r="AM51" s="72"/>
      <c r="AN51" s="6" t="s">
        <v>2579</v>
      </c>
      <c r="AO51" s="72"/>
      <c r="AP51" s="72"/>
      <c r="AQ51" s="72"/>
      <c r="AR51" s="72"/>
      <c r="AS51" s="72"/>
      <c r="AT51" s="72"/>
      <c r="AU51" s="72"/>
      <c r="AV51" s="72"/>
      <c r="AW51" s="72"/>
      <c r="AX51" s="72"/>
      <c r="AY51" s="72"/>
      <c r="AZ51" s="72"/>
      <c r="BA51" s="72"/>
      <c r="BB51" s="72"/>
    </row>
    <row r="52" customFormat="false" ht="15" hidden="false" customHeight="false" outlineLevel="0" collapsed="false">
      <c r="B52" s="5" t="s">
        <v>3682</v>
      </c>
      <c r="D52" s="24" t="n">
        <v>24</v>
      </c>
      <c r="E52" s="24" t="n">
        <v>25</v>
      </c>
      <c r="F52" s="24" t="n">
        <v>55</v>
      </c>
      <c r="G52" s="24" t="n">
        <v>72</v>
      </c>
      <c r="H52" s="24" t="n">
        <v>12</v>
      </c>
      <c r="I52" s="24" t="n">
        <v>20</v>
      </c>
      <c r="J52" s="24" t="n">
        <v>10</v>
      </c>
      <c r="K52" s="24" t="n">
        <v>10</v>
      </c>
      <c r="L52" s="24" t="n">
        <v>10</v>
      </c>
      <c r="M52" s="24" t="n">
        <v>55</v>
      </c>
      <c r="N52" s="24" t="n">
        <v>32</v>
      </c>
      <c r="O52" s="24" t="n">
        <v>26</v>
      </c>
      <c r="P52" s="24" t="n">
        <v>38</v>
      </c>
      <c r="Q52" s="24" t="n">
        <v>9</v>
      </c>
      <c r="R52" s="24" t="n">
        <v>93</v>
      </c>
      <c r="S52" s="24" t="n">
        <v>3</v>
      </c>
      <c r="T52" s="24" t="n">
        <v>4</v>
      </c>
      <c r="U52" s="24" t="n">
        <v>9</v>
      </c>
      <c r="V52" s="24" t="n">
        <v>5</v>
      </c>
      <c r="W52" s="24" t="n">
        <v>7</v>
      </c>
      <c r="X52" s="24" t="n">
        <v>7</v>
      </c>
      <c r="Y52" s="24" t="n">
        <v>8</v>
      </c>
      <c r="Z52" s="24" t="n">
        <v>4</v>
      </c>
      <c r="AA52" s="24" t="n">
        <v>4</v>
      </c>
      <c r="AB52" s="24" t="n">
        <v>7</v>
      </c>
      <c r="AC52" s="24" t="n">
        <v>22</v>
      </c>
      <c r="AD52" s="24" t="n">
        <v>18</v>
      </c>
      <c r="AE52" s="24" t="n">
        <v>61</v>
      </c>
      <c r="AF52" s="24" t="n">
        <v>20</v>
      </c>
      <c r="AG52" s="24" t="n">
        <v>14</v>
      </c>
      <c r="AH52" s="24" t="n">
        <v>29</v>
      </c>
      <c r="AI52" s="24" t="n">
        <v>5</v>
      </c>
      <c r="AJ52" s="24" t="n">
        <v>7</v>
      </c>
      <c r="AK52" s="24" t="n">
        <v>10</v>
      </c>
      <c r="AL52" s="24" t="n">
        <v>5</v>
      </c>
      <c r="AM52" s="24" t="n">
        <v>12</v>
      </c>
      <c r="AN52" s="24" t="n">
        <v>11</v>
      </c>
      <c r="AO52" s="24" t="n">
        <v>14</v>
      </c>
      <c r="AP52" s="24" t="n">
        <v>33</v>
      </c>
      <c r="AQ52" s="24" t="n">
        <v>23</v>
      </c>
      <c r="AR52" s="24" t="n">
        <v>13</v>
      </c>
      <c r="AS52" s="24" t="n">
        <v>17</v>
      </c>
      <c r="AT52" s="24" t="n">
        <v>10</v>
      </c>
      <c r="AU52" s="24" t="n">
        <v>4</v>
      </c>
      <c r="AV52" s="24" t="n">
        <v>8</v>
      </c>
      <c r="AW52" s="24" t="n">
        <v>9</v>
      </c>
      <c r="AX52" s="24" t="n">
        <v>13</v>
      </c>
      <c r="AY52" s="24" t="n">
        <v>6</v>
      </c>
      <c r="AZ52" s="24" t="n">
        <v>34</v>
      </c>
      <c r="BA52" s="24" t="n">
        <v>8</v>
      </c>
      <c r="BB52" s="24" t="n">
        <v>18</v>
      </c>
    </row>
  </sheetData>
  <mergeCells count="7">
    <mergeCell ref="D4:I4"/>
    <mergeCell ref="J4:O4"/>
    <mergeCell ref="P4:AB4"/>
    <mergeCell ref="AC4:AH4"/>
    <mergeCell ref="AI4:AL4"/>
    <mergeCell ref="AM4:AN4"/>
    <mergeCell ref="AO4:BB4"/>
  </mergeCells>
  <conditionalFormatting sqref="C6:C51">
    <cfRule type="cellIs" priority="2" operator="equal" aboveAverage="0" equalAverage="0" bottom="0" percent="0" rank="0" text="" dxfId="18">
      <formula>"Baseline"</formula>
    </cfRule>
    <cfRule type="cellIs" priority="3" operator="equal" aboveAverage="0" equalAverage="0" bottom="0" percent="0" rank="0" text="" dxfId="19">
      <formula>"Advanced"</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597"/>
    <pageSetUpPr fitToPage="true"/>
  </sheetPr>
  <dimension ref="A1:G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8"/>
    <col collapsed="false" customWidth="true" hidden="false" outlineLevel="0" max="4" min="3" style="0" width="34"/>
    <col collapsed="false" customWidth="true" hidden="false" outlineLevel="0" max="5" min="5" style="0" width="44"/>
    <col collapsed="false" customWidth="true" hidden="false" outlineLevel="0" max="6" min="6" style="0" width="12"/>
    <col collapsed="false" customWidth="true" hidden="false" outlineLevel="0" max="7" min="7" style="0" width="16"/>
  </cols>
  <sheetData>
    <row r="1" customFormat="false" ht="30" hidden="false" customHeight="true" outlineLevel="0" collapsed="false">
      <c r="A1" s="73" t="s">
        <v>3683</v>
      </c>
      <c r="B1" s="74"/>
      <c r="C1" s="74"/>
      <c r="D1" s="74"/>
      <c r="E1" s="74"/>
      <c r="F1" s="74"/>
      <c r="G1" s="74"/>
    </row>
    <row r="2" customFormat="false" ht="15" hidden="false" customHeight="false" outlineLevel="0" collapsed="false">
      <c r="A2" s="3" t="s">
        <v>3684</v>
      </c>
    </row>
    <row r="4" customFormat="false" ht="23.85" hidden="false" customHeight="false" outlineLevel="0" collapsed="false">
      <c r="A4" s="75" t="s">
        <v>3685</v>
      </c>
      <c r="B4" s="75" t="s">
        <v>3686</v>
      </c>
      <c r="C4" s="75" t="s">
        <v>3687</v>
      </c>
      <c r="D4" s="75" t="s">
        <v>630</v>
      </c>
      <c r="E4" s="75" t="s">
        <v>3688</v>
      </c>
      <c r="F4" s="75" t="s">
        <v>635</v>
      </c>
      <c r="G4" s="75" t="s">
        <v>38</v>
      </c>
    </row>
    <row r="5" customFormat="false" ht="23.85" hidden="false" customHeight="false" outlineLevel="0" collapsed="false">
      <c r="A5" s="36" t="s">
        <v>3689</v>
      </c>
      <c r="B5" s="6" t="s">
        <v>3690</v>
      </c>
      <c r="C5" s="6" t="s">
        <v>3691</v>
      </c>
      <c r="D5" s="6" t="s">
        <v>3692</v>
      </c>
      <c r="E5" s="6" t="s">
        <v>3693</v>
      </c>
      <c r="F5" s="26" t="str">
        <f aca="false">(COUNTIFS('Control Library'!$A$5:$A$50,"AI-CTRL-002",'Control Library'!$R$5:$R$50,"Implemented")+COUNTIFS('Control Library'!$A$5:$A$50,"AI-CTRL-003",'Control Library'!$R$5:$R$50,"Implemented")+COUNTIFS('Control Library'!$A$5:$A$50,"AI-CTRL-010",'Control Library'!$R$5:$R$50,"Implemented")+COUNTIFS('Control Library'!$A$5:$A$50,"AI-CTRL-017",'Control Library'!$R$5:$R$50,"Implemented"))&amp;" of 4"</f>
        <v>0 of 4</v>
      </c>
      <c r="G5" s="43" t="str">
        <f aca="false">IF((COUNTIFS('Control Library'!$A$5:$A$50,"AI-CTRL-002",'Control Library'!$R$5:$R$50,"Implemented")+COUNTIFS('Control Library'!$A$5:$A$50,"AI-CTRL-003",'Control Library'!$R$5:$R$50,"Implemented")+COUNTIFS('Control Library'!$A$5:$A$50,"AI-CTRL-010",'Control Library'!$R$5:$R$50,"Implemented")+COUNTIFS('Control Library'!$A$5:$A$50,"AI-CTRL-017",'Control Library'!$R$5:$R$50,"Implemented"))=4,"Fully covered",IF((COUNTIFS('Control Library'!$A$5:$A$50,"AI-CTRL-002",'Control Library'!$R$5:$R$50,"Implemented")+COUNTIFS('Control Library'!$A$5:$A$50,"AI-CTRL-003",'Control Library'!$R$5:$R$50,"Implemented")+COUNTIFS('Control Library'!$A$5:$A$50,"AI-CTRL-010",'Control Library'!$R$5:$R$50,"Implemented")+COUNTIFS('Control Library'!$A$5:$A$50,"AI-CTRL-017",'Control Library'!$R$5:$R$50,"Implemented"))=0,"Not covered","Partly covered"))</f>
        <v>Not covered</v>
      </c>
    </row>
    <row r="6" customFormat="false" ht="35.05" hidden="false" customHeight="false" outlineLevel="0" collapsed="false">
      <c r="A6" s="36" t="s">
        <v>165</v>
      </c>
      <c r="B6" s="76" t="s">
        <v>3694</v>
      </c>
      <c r="C6" s="76" t="s">
        <v>3695</v>
      </c>
      <c r="D6" s="76" t="s">
        <v>3696</v>
      </c>
      <c r="E6" s="76" t="s">
        <v>3697</v>
      </c>
      <c r="F6" s="26" t="str">
        <f aca="false">(COUNTIFS('Control Library'!$A$5:$A$50,"AI-CTRL-001",'Control Library'!$R$5:$R$50,"Implemented")+COUNTIFS('Control Library'!$A$5:$A$50,"AI-CTRL-010",'Control Library'!$R$5:$R$50,"Implemented")+COUNTIFS('Control Library'!$A$5:$A$50,"AI-CTRL-011",'Control Library'!$R$5:$R$50,"Implemented")+COUNTIFS('Control Library'!$A$5:$A$50,"AI-CTRL-012",'Control Library'!$R$5:$R$50,"Implemented")+COUNTIFS('Control Library'!$A$5:$A$50,"AI-CTRL-037",'Control Library'!$R$5:$R$50,"Implemented")+COUNTIFS('Control Library'!$A$5:$A$50,"AI-CTRL-044",'Control Library'!$R$5:$R$50,"Implemented"))&amp;" of 6"</f>
        <v>0 of 6</v>
      </c>
      <c r="G6" s="43" t="str">
        <f aca="false">IF((COUNTIFS('Control Library'!$A$5:$A$50,"AI-CTRL-001",'Control Library'!$R$5:$R$50,"Implemented")+COUNTIFS('Control Library'!$A$5:$A$50,"AI-CTRL-010",'Control Library'!$R$5:$R$50,"Implemented")+COUNTIFS('Control Library'!$A$5:$A$50,"AI-CTRL-011",'Control Library'!$R$5:$R$50,"Implemented")+COUNTIFS('Control Library'!$A$5:$A$50,"AI-CTRL-012",'Control Library'!$R$5:$R$50,"Implemented")+COUNTIFS('Control Library'!$A$5:$A$50,"AI-CTRL-037",'Control Library'!$R$5:$R$50,"Implemented")+COUNTIFS('Control Library'!$A$5:$A$50,"AI-CTRL-044",'Control Library'!$R$5:$R$50,"Implemented"))=6,"Fully covered",IF((COUNTIFS('Control Library'!$A$5:$A$50,"AI-CTRL-001",'Control Library'!$R$5:$R$50,"Implemented")+COUNTIFS('Control Library'!$A$5:$A$50,"AI-CTRL-010",'Control Library'!$R$5:$R$50,"Implemented")+COUNTIFS('Control Library'!$A$5:$A$50,"AI-CTRL-011",'Control Library'!$R$5:$R$50,"Implemented")+COUNTIFS('Control Library'!$A$5:$A$50,"AI-CTRL-012",'Control Library'!$R$5:$R$50,"Implemented")+COUNTIFS('Control Library'!$A$5:$A$50,"AI-CTRL-037",'Control Library'!$R$5:$R$50,"Implemented")+COUNTIFS('Control Library'!$A$5:$A$50,"AI-CTRL-044",'Control Library'!$R$5:$R$50,"Implemented"))=0,"Not covered","Partly covered"))</f>
        <v>Not covered</v>
      </c>
    </row>
    <row r="7" customFormat="false" ht="35.05" hidden="false" customHeight="false" outlineLevel="0" collapsed="false">
      <c r="A7" s="36" t="s">
        <v>3698</v>
      </c>
      <c r="B7" s="6" t="s">
        <v>3699</v>
      </c>
      <c r="C7" s="6" t="s">
        <v>3700</v>
      </c>
      <c r="D7" s="6" t="s">
        <v>3701</v>
      </c>
      <c r="E7" s="6" t="s">
        <v>3702</v>
      </c>
      <c r="F7" s="26" t="str">
        <f aca="false">(COUNTIFS('Control Library'!$A$5:$A$50,"AI-CTRL-002",'Control Library'!$R$5:$R$50,"Implemented")+COUNTIFS('Control Library'!$A$5:$A$50,"AI-CTRL-003",'Control Library'!$R$5:$R$50,"Implemented")+COUNTIFS('Control Library'!$A$5:$A$50,"AI-CTRL-010",'Control Library'!$R$5:$R$50,"Implemented")+COUNTIFS('Control Library'!$A$5:$A$50,"AI-CTRL-012",'Control Library'!$R$5:$R$50,"Implemented")+COUNTIFS('Control Library'!$A$5:$A$50,"AI-CTRL-013",'Control Library'!$R$5:$R$50,"Implemented")+COUNTIFS('Control Library'!$A$5:$A$50,"AI-CTRL-017",'Control Library'!$R$5:$R$50,"Implemented")+COUNTIFS('Control Library'!$A$5:$A$50,"AI-CTRL-021",'Control Library'!$R$5:$R$50,"Implemented"))&amp;" of 7"</f>
        <v>0 of 7</v>
      </c>
      <c r="G7" s="43" t="str">
        <f aca="false">IF((COUNTIFS('Control Library'!$A$5:$A$50,"AI-CTRL-002",'Control Library'!$R$5:$R$50,"Implemented")+COUNTIFS('Control Library'!$A$5:$A$50,"AI-CTRL-003",'Control Library'!$R$5:$R$50,"Implemented")+COUNTIFS('Control Library'!$A$5:$A$50,"AI-CTRL-010",'Control Library'!$R$5:$R$50,"Implemented")+COUNTIFS('Control Library'!$A$5:$A$50,"AI-CTRL-012",'Control Library'!$R$5:$R$50,"Implemented")+COUNTIFS('Control Library'!$A$5:$A$50,"AI-CTRL-013",'Control Library'!$R$5:$R$50,"Implemented")+COUNTIFS('Control Library'!$A$5:$A$50,"AI-CTRL-017",'Control Library'!$R$5:$R$50,"Implemented")+COUNTIFS('Control Library'!$A$5:$A$50,"AI-CTRL-021",'Control Library'!$R$5:$R$50,"Implemented"))=7,"Fully covered",IF((COUNTIFS('Control Library'!$A$5:$A$50,"AI-CTRL-002",'Control Library'!$R$5:$R$50,"Implemented")+COUNTIFS('Control Library'!$A$5:$A$50,"AI-CTRL-003",'Control Library'!$R$5:$R$50,"Implemented")+COUNTIFS('Control Library'!$A$5:$A$50,"AI-CTRL-010",'Control Library'!$R$5:$R$50,"Implemented")+COUNTIFS('Control Library'!$A$5:$A$50,"AI-CTRL-012",'Control Library'!$R$5:$R$50,"Implemented")+COUNTIFS('Control Library'!$A$5:$A$50,"AI-CTRL-013",'Control Library'!$R$5:$R$50,"Implemented")+COUNTIFS('Control Library'!$A$5:$A$50,"AI-CTRL-017",'Control Library'!$R$5:$R$50,"Implemented")+COUNTIFS('Control Library'!$A$5:$A$50,"AI-CTRL-021",'Control Library'!$R$5:$R$50,"Implemented"))=0,"Not covered","Partly covered"))</f>
        <v>Not covered</v>
      </c>
    </row>
    <row r="8" customFormat="false" ht="23.85" hidden="false" customHeight="false" outlineLevel="0" collapsed="false">
      <c r="A8" s="36" t="s">
        <v>3703</v>
      </c>
      <c r="B8" s="76" t="s">
        <v>3704</v>
      </c>
      <c r="C8" s="76" t="s">
        <v>3705</v>
      </c>
      <c r="D8" s="76" t="s">
        <v>190</v>
      </c>
      <c r="E8" s="76" t="s">
        <v>3706</v>
      </c>
      <c r="F8" s="26" t="str">
        <f aca="false">(COUNTIFS('Control Library'!$A$5:$A$50,"AI-CTRL-004",'Control Library'!$R$5:$R$50,"Implemented"))&amp;" of 1"</f>
        <v>0 of 1</v>
      </c>
      <c r="G8" s="43" t="str">
        <f aca="false">IF((COUNTIFS('Control Library'!$A$5:$A$50,"AI-CTRL-004",'Control Library'!$R$5:$R$50,"Implemented"))=1,"Fully covered",IF((COUNTIFS('Control Library'!$A$5:$A$50,"AI-CTRL-004",'Control Library'!$R$5:$R$50,"Implemented"))=0,"Not covered","Partly covered"))</f>
        <v>Not covered</v>
      </c>
    </row>
    <row r="9" customFormat="false" ht="35.05" hidden="false" customHeight="false" outlineLevel="0" collapsed="false">
      <c r="A9" s="36" t="s">
        <v>703</v>
      </c>
      <c r="B9" s="6" t="s">
        <v>3707</v>
      </c>
      <c r="C9" s="6" t="s">
        <v>3708</v>
      </c>
      <c r="D9" s="6" t="s">
        <v>702</v>
      </c>
      <c r="E9" s="6" t="s">
        <v>3709</v>
      </c>
      <c r="F9" s="26" t="str">
        <f aca="false">(COUNTIFS('Control Library'!$A$5:$A$50,"AI-CTRL-005",'Control Library'!$R$5:$R$50,"Implemented")+COUNTIFS('Control Library'!$A$5:$A$50,"AI-CTRL-019",'Control Library'!$R$5:$R$50,"Implemented")+COUNTIFS('Control Library'!$A$5:$A$50,"AI-CTRL-020",'Control Library'!$R$5:$R$50,"Implemented")+COUNTIFS('Control Library'!$A$5:$A$50,"AI-CTRL-021",'Control Library'!$R$5:$R$50,"Implemented")+COUNTIFS('Control Library'!$A$5:$A$50,"AI-CTRL-026",'Control Library'!$R$5:$R$50,"Implemented")+COUNTIFS('Control Library'!$A$5:$A$50,"AI-CTRL-033",'Control Library'!$R$5:$R$50,"Implemented")+COUNTIFS('Control Library'!$A$5:$A$50,"AI-CTRL-034",'Control Library'!$R$5:$R$50,"Implemented"))&amp;" of 7"</f>
        <v>0 of 7</v>
      </c>
      <c r="G9" s="43" t="str">
        <f aca="false">IF((COUNTIFS('Control Library'!$A$5:$A$50,"AI-CTRL-005",'Control Library'!$R$5:$R$50,"Implemented")+COUNTIFS('Control Library'!$A$5:$A$50,"AI-CTRL-019",'Control Library'!$R$5:$R$50,"Implemented")+COUNTIFS('Control Library'!$A$5:$A$50,"AI-CTRL-020",'Control Library'!$R$5:$R$50,"Implemented")+COUNTIFS('Control Library'!$A$5:$A$50,"AI-CTRL-021",'Control Library'!$R$5:$R$50,"Implemented")+COUNTIFS('Control Library'!$A$5:$A$50,"AI-CTRL-026",'Control Library'!$R$5:$R$50,"Implemented")+COUNTIFS('Control Library'!$A$5:$A$50,"AI-CTRL-033",'Control Library'!$R$5:$R$50,"Implemented")+COUNTIFS('Control Library'!$A$5:$A$50,"AI-CTRL-034",'Control Library'!$R$5:$R$50,"Implemented"))=7,"Fully covered",IF((COUNTIFS('Control Library'!$A$5:$A$50,"AI-CTRL-005",'Control Library'!$R$5:$R$50,"Implemented")+COUNTIFS('Control Library'!$A$5:$A$50,"AI-CTRL-019",'Control Library'!$R$5:$R$50,"Implemented")+COUNTIFS('Control Library'!$A$5:$A$50,"AI-CTRL-020",'Control Library'!$R$5:$R$50,"Implemented")+COUNTIFS('Control Library'!$A$5:$A$50,"AI-CTRL-021",'Control Library'!$R$5:$R$50,"Implemented")+COUNTIFS('Control Library'!$A$5:$A$50,"AI-CTRL-026",'Control Library'!$R$5:$R$50,"Implemented")+COUNTIFS('Control Library'!$A$5:$A$50,"AI-CTRL-033",'Control Library'!$R$5:$R$50,"Implemented")+COUNTIFS('Control Library'!$A$5:$A$50,"AI-CTRL-034",'Control Library'!$R$5:$R$50,"Implemented"))=0,"Not covered","Partly covered"))</f>
        <v>Not covered</v>
      </c>
    </row>
    <row r="10" customFormat="false" ht="23.85" hidden="false" customHeight="false" outlineLevel="0" collapsed="false">
      <c r="A10" s="36" t="s">
        <v>319</v>
      </c>
      <c r="B10" s="76" t="s">
        <v>3710</v>
      </c>
      <c r="C10" s="76" t="s">
        <v>3711</v>
      </c>
      <c r="D10" s="76" t="s">
        <v>694</v>
      </c>
      <c r="E10" s="76" t="s">
        <v>3712</v>
      </c>
      <c r="F10" s="26" t="str">
        <f aca="false">(COUNTIFS('Control Library'!$A$5:$A$50,"AI-CTRL-005",'Control Library'!$R$5:$R$50,"Implemented")+COUNTIFS('Control Library'!$A$5:$A$50,"AI-CTRL-016",'Control Library'!$R$5:$R$50,"Implemented")+COUNTIFS('Control Library'!$A$5:$A$50,"AI-CTRL-017",'Control Library'!$R$5:$R$50,"Implemented")+COUNTIFS('Control Library'!$A$5:$A$50,"AI-CTRL-018",'Control Library'!$R$5:$R$50,"Implemented")+COUNTIFS('Control Library'!$A$5:$A$50,"AI-CTRL-020",'Control Library'!$R$5:$R$50,"Implemented"))&amp;" of 5"</f>
        <v>0 of 5</v>
      </c>
      <c r="G10" s="43" t="str">
        <f aca="false">IF((COUNTIFS('Control Library'!$A$5:$A$50,"AI-CTRL-005",'Control Library'!$R$5:$R$50,"Implemented")+COUNTIFS('Control Library'!$A$5:$A$50,"AI-CTRL-016",'Control Library'!$R$5:$R$50,"Implemented")+COUNTIFS('Control Library'!$A$5:$A$50,"AI-CTRL-017",'Control Library'!$R$5:$R$50,"Implemented")+COUNTIFS('Control Library'!$A$5:$A$50,"AI-CTRL-018",'Control Library'!$R$5:$R$50,"Implemented")+COUNTIFS('Control Library'!$A$5:$A$50,"AI-CTRL-020",'Control Library'!$R$5:$R$50,"Implemented"))=5,"Fully covered",IF((COUNTIFS('Control Library'!$A$5:$A$50,"AI-CTRL-005",'Control Library'!$R$5:$R$50,"Implemented")+COUNTIFS('Control Library'!$A$5:$A$50,"AI-CTRL-016",'Control Library'!$R$5:$R$50,"Implemented")+COUNTIFS('Control Library'!$A$5:$A$50,"AI-CTRL-017",'Control Library'!$R$5:$R$50,"Implemented")+COUNTIFS('Control Library'!$A$5:$A$50,"AI-CTRL-018",'Control Library'!$R$5:$R$50,"Implemented")+COUNTIFS('Control Library'!$A$5:$A$50,"AI-CTRL-020",'Control Library'!$R$5:$R$50,"Implemented"))=0,"Not covered","Partly covered"))</f>
        <v>Not covered</v>
      </c>
    </row>
    <row r="11" customFormat="false" ht="57.45" hidden="false" customHeight="false" outlineLevel="0" collapsed="false">
      <c r="A11" s="36" t="s">
        <v>707</v>
      </c>
      <c r="B11" s="6" t="s">
        <v>3713</v>
      </c>
      <c r="C11" s="6" t="s">
        <v>3714</v>
      </c>
      <c r="D11" s="6" t="s">
        <v>706</v>
      </c>
      <c r="E11" s="6" t="s">
        <v>3715</v>
      </c>
      <c r="F11" s="26" t="str">
        <f aca="false">(COUNTIFS('Control Library'!$A$5:$A$50,"AI-CTRL-006",'Control Library'!$R$5:$R$50,"Implemented")+COUNTIFS('Control Library'!$A$5:$A$50,"AI-CTRL-015",'Control Library'!$R$5:$R$50,"Implemented")+COUNTIFS('Control Library'!$A$5:$A$50,"AI-CTRL-016",'Control Library'!$R$5:$R$50,"Implemented")+COUNTIFS('Control Library'!$A$5:$A$50,"AI-CTRL-022",'Control Library'!$R$5:$R$50,"Implemented")+COUNTIFS('Control Library'!$A$5:$A$50,"AI-CTRL-023",'Control Library'!$R$5:$R$50,"Implemented")+COUNTIFS('Control Library'!$A$5:$A$50,"AI-CTRL-024",'Control Library'!$R$5:$R$50,"Implemented")+COUNTIFS('Control Library'!$A$5:$A$50,"AI-CTRL-025",'Control Library'!$R$5:$R$50,"Implemented")+COUNTIFS('Control Library'!$A$5:$A$50,"AI-CTRL-026",'Control Library'!$R$5:$R$50,"Implemented")+COUNTIFS('Control Library'!$A$5:$A$50,"AI-CTRL-027",'Control Library'!$R$5:$R$50,"Implemented")+COUNTIFS('Control Library'!$A$5:$A$50,"AI-CTRL-033",'Control Library'!$R$5:$R$50,"Implemented")+COUNTIFS('Control Library'!$A$5:$A$50,"AI-CTRL-034",'Control Library'!$R$5:$R$50,"Implemented")+COUNTIFS('Control Library'!$A$5:$A$50,"AI-CTRL-045",'Control Library'!$R$5:$R$50,"Implemented"))&amp;" of 12"</f>
        <v>0 of 12</v>
      </c>
      <c r="G11" s="43" t="str">
        <f aca="false">IF((COUNTIFS('Control Library'!$A$5:$A$50,"AI-CTRL-006",'Control Library'!$R$5:$R$50,"Implemented")+COUNTIFS('Control Library'!$A$5:$A$50,"AI-CTRL-015",'Control Library'!$R$5:$R$50,"Implemented")+COUNTIFS('Control Library'!$A$5:$A$50,"AI-CTRL-016",'Control Library'!$R$5:$R$50,"Implemented")+COUNTIFS('Control Library'!$A$5:$A$50,"AI-CTRL-022",'Control Library'!$R$5:$R$50,"Implemented")+COUNTIFS('Control Library'!$A$5:$A$50,"AI-CTRL-023",'Control Library'!$R$5:$R$50,"Implemented")+COUNTIFS('Control Library'!$A$5:$A$50,"AI-CTRL-024",'Control Library'!$R$5:$R$50,"Implemented")+COUNTIFS('Control Library'!$A$5:$A$50,"AI-CTRL-025",'Control Library'!$R$5:$R$50,"Implemented")+COUNTIFS('Control Library'!$A$5:$A$50,"AI-CTRL-026",'Control Library'!$R$5:$R$50,"Implemented")+COUNTIFS('Control Library'!$A$5:$A$50,"AI-CTRL-027",'Control Library'!$R$5:$R$50,"Implemented")+COUNTIFS('Control Library'!$A$5:$A$50,"AI-CTRL-033",'Control Library'!$R$5:$R$50,"Implemented")+COUNTIFS('Control Library'!$A$5:$A$50,"AI-CTRL-034",'Control Library'!$R$5:$R$50,"Implemented")+COUNTIFS('Control Library'!$A$5:$A$50,"AI-CTRL-045",'Control Library'!$R$5:$R$50,"Implemented"))=12,"Fully covered",IF((COUNTIFS('Control Library'!$A$5:$A$50,"AI-CTRL-006",'Control Library'!$R$5:$R$50,"Implemented")+COUNTIFS('Control Library'!$A$5:$A$50,"AI-CTRL-015",'Control Library'!$R$5:$R$50,"Implemented")+COUNTIFS('Control Library'!$A$5:$A$50,"AI-CTRL-016",'Control Library'!$R$5:$R$50,"Implemented")+COUNTIFS('Control Library'!$A$5:$A$50,"AI-CTRL-022",'Control Library'!$R$5:$R$50,"Implemented")+COUNTIFS('Control Library'!$A$5:$A$50,"AI-CTRL-023",'Control Library'!$R$5:$R$50,"Implemented")+COUNTIFS('Control Library'!$A$5:$A$50,"AI-CTRL-024",'Control Library'!$R$5:$R$50,"Implemented")+COUNTIFS('Control Library'!$A$5:$A$50,"AI-CTRL-025",'Control Library'!$R$5:$R$50,"Implemented")+COUNTIFS('Control Library'!$A$5:$A$50,"AI-CTRL-026",'Control Library'!$R$5:$R$50,"Implemented")+COUNTIFS('Control Library'!$A$5:$A$50,"AI-CTRL-027",'Control Library'!$R$5:$R$50,"Implemented")+COUNTIFS('Control Library'!$A$5:$A$50,"AI-CTRL-033",'Control Library'!$R$5:$R$50,"Implemented")+COUNTIFS('Control Library'!$A$5:$A$50,"AI-CTRL-034",'Control Library'!$R$5:$R$50,"Implemented")+COUNTIFS('Control Library'!$A$5:$A$50,"AI-CTRL-045",'Control Library'!$R$5:$R$50,"Implemented"))=0,"Not covered","Partly covered"))</f>
        <v>Not covered</v>
      </c>
    </row>
    <row r="12" customFormat="false" ht="46.25" hidden="false" customHeight="false" outlineLevel="0" collapsed="false">
      <c r="A12" s="36" t="s">
        <v>399</v>
      </c>
      <c r="B12" s="76" t="s">
        <v>3716</v>
      </c>
      <c r="C12" s="76" t="s">
        <v>3717</v>
      </c>
      <c r="D12" s="76" t="s">
        <v>697</v>
      </c>
      <c r="E12" s="76" t="s">
        <v>3718</v>
      </c>
      <c r="F12" s="26" t="str">
        <f aca="false">(COUNTIFS('Control Library'!$A$5:$A$50,"AI-CTRL-014",'Control Library'!$R$5:$R$50,"Implemented")+COUNTIFS('Control Library'!$A$5:$A$50,"AI-CTRL-016",'Control Library'!$R$5:$R$50,"Implemented")+COUNTIFS('Control Library'!$A$5:$A$50,"AI-CTRL-019",'Control Library'!$R$5:$R$50,"Implemented")+COUNTIFS('Control Library'!$A$5:$A$50,"AI-CTRL-024",'Control Library'!$R$5:$R$50,"Implemented")+COUNTIFS('Control Library'!$A$5:$A$50,"AI-CTRL-028",'Control Library'!$R$5:$R$50,"Implemented")+COUNTIFS('Control Library'!$A$5:$A$50,"AI-CTRL-029",'Control Library'!$R$5:$R$50,"Implemented")+COUNTIFS('Control Library'!$A$5:$A$50,"AI-CTRL-030",'Control Library'!$R$5:$R$50,"Implemented")+COUNTIFS('Control Library'!$A$5:$A$50,"AI-CTRL-031",'Control Library'!$R$5:$R$50,"Implemented")+COUNTIFS('Control Library'!$A$5:$A$50,"AI-CTRL-032",'Control Library'!$R$5:$R$50,"Implemented")+COUNTIFS('Control Library'!$A$5:$A$50,"AI-CTRL-033",'Control Library'!$R$5:$R$50,"Implemented"))&amp;" of 10"</f>
        <v>0 of 10</v>
      </c>
      <c r="G12" s="43" t="str">
        <f aca="false">IF((COUNTIFS('Control Library'!$A$5:$A$50,"AI-CTRL-014",'Control Library'!$R$5:$R$50,"Implemented")+COUNTIFS('Control Library'!$A$5:$A$50,"AI-CTRL-016",'Control Library'!$R$5:$R$50,"Implemented")+COUNTIFS('Control Library'!$A$5:$A$50,"AI-CTRL-019",'Control Library'!$R$5:$R$50,"Implemented")+COUNTIFS('Control Library'!$A$5:$A$50,"AI-CTRL-024",'Control Library'!$R$5:$R$50,"Implemented")+COUNTIFS('Control Library'!$A$5:$A$50,"AI-CTRL-028",'Control Library'!$R$5:$R$50,"Implemented")+COUNTIFS('Control Library'!$A$5:$A$50,"AI-CTRL-029",'Control Library'!$R$5:$R$50,"Implemented")+COUNTIFS('Control Library'!$A$5:$A$50,"AI-CTRL-030",'Control Library'!$R$5:$R$50,"Implemented")+COUNTIFS('Control Library'!$A$5:$A$50,"AI-CTRL-031",'Control Library'!$R$5:$R$50,"Implemented")+COUNTIFS('Control Library'!$A$5:$A$50,"AI-CTRL-032",'Control Library'!$R$5:$R$50,"Implemented")+COUNTIFS('Control Library'!$A$5:$A$50,"AI-CTRL-033",'Control Library'!$R$5:$R$50,"Implemented"))=10,"Fully covered",IF((COUNTIFS('Control Library'!$A$5:$A$50,"AI-CTRL-014",'Control Library'!$R$5:$R$50,"Implemented")+COUNTIFS('Control Library'!$A$5:$A$50,"AI-CTRL-016",'Control Library'!$R$5:$R$50,"Implemented")+COUNTIFS('Control Library'!$A$5:$A$50,"AI-CTRL-019",'Control Library'!$R$5:$R$50,"Implemented")+COUNTIFS('Control Library'!$A$5:$A$50,"AI-CTRL-024",'Control Library'!$R$5:$R$50,"Implemented")+COUNTIFS('Control Library'!$A$5:$A$50,"AI-CTRL-028",'Control Library'!$R$5:$R$50,"Implemented")+COUNTIFS('Control Library'!$A$5:$A$50,"AI-CTRL-029",'Control Library'!$R$5:$R$50,"Implemented")+COUNTIFS('Control Library'!$A$5:$A$50,"AI-CTRL-030",'Control Library'!$R$5:$R$50,"Implemented")+COUNTIFS('Control Library'!$A$5:$A$50,"AI-CTRL-031",'Control Library'!$R$5:$R$50,"Implemented")+COUNTIFS('Control Library'!$A$5:$A$50,"AI-CTRL-032",'Control Library'!$R$5:$R$50,"Implemented")+COUNTIFS('Control Library'!$A$5:$A$50,"AI-CTRL-033",'Control Library'!$R$5:$R$50,"Implemented"))=0,"Not covered","Partly covered"))</f>
        <v>Not covered</v>
      </c>
    </row>
    <row r="13" customFormat="false" ht="23.85" hidden="false" customHeight="false" outlineLevel="0" collapsed="false">
      <c r="A13" s="36" t="s">
        <v>243</v>
      </c>
      <c r="B13" s="6" t="s">
        <v>3719</v>
      </c>
      <c r="C13" s="6" t="s">
        <v>3720</v>
      </c>
      <c r="D13" s="6" t="s">
        <v>921</v>
      </c>
      <c r="E13" s="6" t="s">
        <v>3721</v>
      </c>
      <c r="F13" s="26" t="str">
        <f aca="false">(COUNTIFS('Control Library'!$A$5:$A$50,"AI-CTRL-008",'Control Library'!$R$5:$R$50,"Implemented")+COUNTIFS('Control Library'!$A$5:$A$50,"AI-CTRL-009",'Control Library'!$R$5:$R$50,"Implemented")+COUNTIFS('Control Library'!$A$5:$A$50,"AI-CTRL-035",'Control Library'!$R$5:$R$50,"Implemented")+COUNTIFS('Control Library'!$A$5:$A$50,"AI-CTRL-038",'Control Library'!$R$5:$R$50,"Implemented")+COUNTIFS('Control Library'!$A$5:$A$50,"AI-CTRL-043",'Control Library'!$R$5:$R$50,"Implemented"))&amp;" of 5"</f>
        <v>0 of 5</v>
      </c>
      <c r="G13" s="43" t="str">
        <f aca="false">IF((COUNTIFS('Control Library'!$A$5:$A$50,"AI-CTRL-008",'Control Library'!$R$5:$R$50,"Implemented")+COUNTIFS('Control Library'!$A$5:$A$50,"AI-CTRL-009",'Control Library'!$R$5:$R$50,"Implemented")+COUNTIFS('Control Library'!$A$5:$A$50,"AI-CTRL-035",'Control Library'!$R$5:$R$50,"Implemented")+COUNTIFS('Control Library'!$A$5:$A$50,"AI-CTRL-038",'Control Library'!$R$5:$R$50,"Implemented")+COUNTIFS('Control Library'!$A$5:$A$50,"AI-CTRL-043",'Control Library'!$R$5:$R$50,"Implemented"))=5,"Fully covered",IF((COUNTIFS('Control Library'!$A$5:$A$50,"AI-CTRL-008",'Control Library'!$R$5:$R$50,"Implemented")+COUNTIFS('Control Library'!$A$5:$A$50,"AI-CTRL-009",'Control Library'!$R$5:$R$50,"Implemented")+COUNTIFS('Control Library'!$A$5:$A$50,"AI-CTRL-035",'Control Library'!$R$5:$R$50,"Implemented")+COUNTIFS('Control Library'!$A$5:$A$50,"AI-CTRL-038",'Control Library'!$R$5:$R$50,"Implemented")+COUNTIFS('Control Library'!$A$5:$A$50,"AI-CTRL-043",'Control Library'!$R$5:$R$50,"Implemented"))=0,"Not covered","Partly covered"))</f>
        <v>Not covered</v>
      </c>
    </row>
    <row r="14" customFormat="false" ht="35.05" hidden="false" customHeight="false" outlineLevel="0" collapsed="false">
      <c r="A14" s="36" t="s">
        <v>224</v>
      </c>
      <c r="B14" s="76" t="s">
        <v>3722</v>
      </c>
      <c r="C14" s="76" t="s">
        <v>3723</v>
      </c>
      <c r="D14" s="76" t="s">
        <v>936</v>
      </c>
      <c r="E14" s="76" t="s">
        <v>3724</v>
      </c>
      <c r="F14" s="26" t="str">
        <f aca="false">(COUNTIFS('Control Library'!$A$5:$A$50,"AI-CTRL-007",'Control Library'!$R$5:$R$50,"Implemented")+COUNTIFS('Control Library'!$A$5:$A$50,"AI-CTRL-013",'Control Library'!$R$5:$R$50,"Implemented")+COUNTIFS('Control Library'!$A$5:$A$50,"AI-CTRL-014",'Control Library'!$R$5:$R$50,"Implemented")+COUNTIFS('Control Library'!$A$5:$A$50,"AI-CTRL-032",'Control Library'!$R$5:$R$50,"Implemented")+COUNTIFS('Control Library'!$A$5:$A$50,"AI-CTRL-042",'Control Library'!$R$5:$R$50,"Implemented")+COUNTIFS('Control Library'!$A$5:$A$50,"AI-CTRL-043",'Control Library'!$R$5:$R$50,"Implemented"))&amp;" of 6"</f>
        <v>0 of 6</v>
      </c>
      <c r="G14" s="43" t="str">
        <f aca="false">IF((COUNTIFS('Control Library'!$A$5:$A$50,"AI-CTRL-007",'Control Library'!$R$5:$R$50,"Implemented")+COUNTIFS('Control Library'!$A$5:$A$50,"AI-CTRL-013",'Control Library'!$R$5:$R$50,"Implemented")+COUNTIFS('Control Library'!$A$5:$A$50,"AI-CTRL-014",'Control Library'!$R$5:$R$50,"Implemented")+COUNTIFS('Control Library'!$A$5:$A$50,"AI-CTRL-032",'Control Library'!$R$5:$R$50,"Implemented")+COUNTIFS('Control Library'!$A$5:$A$50,"AI-CTRL-042",'Control Library'!$R$5:$R$50,"Implemented")+COUNTIFS('Control Library'!$A$5:$A$50,"AI-CTRL-043",'Control Library'!$R$5:$R$50,"Implemented"))=6,"Fully covered",IF((COUNTIFS('Control Library'!$A$5:$A$50,"AI-CTRL-007",'Control Library'!$R$5:$R$50,"Implemented")+COUNTIFS('Control Library'!$A$5:$A$50,"AI-CTRL-013",'Control Library'!$R$5:$R$50,"Implemented")+COUNTIFS('Control Library'!$A$5:$A$50,"AI-CTRL-014",'Control Library'!$R$5:$R$50,"Implemented")+COUNTIFS('Control Library'!$A$5:$A$50,"AI-CTRL-032",'Control Library'!$R$5:$R$50,"Implemented")+COUNTIFS('Control Library'!$A$5:$A$50,"AI-CTRL-042",'Control Library'!$R$5:$R$50,"Implemented")+COUNTIFS('Control Library'!$A$5:$A$50,"AI-CTRL-043",'Control Library'!$R$5:$R$50,"Implemented"))=0,"Not covered","Partly covered"))</f>
        <v>Not covered</v>
      </c>
    </row>
    <row r="15" customFormat="false" ht="35.05" hidden="false" customHeight="false" outlineLevel="0" collapsed="false">
      <c r="A15" s="36" t="s">
        <v>465</v>
      </c>
      <c r="B15" s="6" t="s">
        <v>3725</v>
      </c>
      <c r="C15" s="6" t="s">
        <v>3726</v>
      </c>
      <c r="D15" s="6" t="s">
        <v>1313</v>
      </c>
      <c r="E15" s="6" t="s">
        <v>3727</v>
      </c>
      <c r="F15" s="26" t="str">
        <f aca="false">(COUNTIFS('Control Library'!$A$5:$A$50,"AI-CTRL-025",'Control Library'!$R$5:$R$50,"Implemented")+COUNTIFS('Control Library'!$A$5:$A$50,"AI-CTRL-036",'Control Library'!$R$5:$R$50,"Implemented"))&amp;" of 2"</f>
        <v>0 of 2</v>
      </c>
      <c r="G15" s="43" t="str">
        <f aca="false">IF((COUNTIFS('Control Library'!$A$5:$A$50,"AI-CTRL-025",'Control Library'!$R$5:$R$50,"Implemented")+COUNTIFS('Control Library'!$A$5:$A$50,"AI-CTRL-036",'Control Library'!$R$5:$R$50,"Implemented"))=2,"Fully covered",IF((COUNTIFS('Control Library'!$A$5:$A$50,"AI-CTRL-025",'Control Library'!$R$5:$R$50,"Implemented")+COUNTIFS('Control Library'!$A$5:$A$50,"AI-CTRL-036",'Control Library'!$R$5:$R$50,"Implemented"))=0,"Not covered","Partly covered"))</f>
        <v>Not covered</v>
      </c>
    </row>
    <row r="16" customFormat="false" ht="35.05" hidden="false" customHeight="false" outlineLevel="0" collapsed="false">
      <c r="A16" s="36" t="s">
        <v>641</v>
      </c>
      <c r="B16" s="76" t="s">
        <v>3728</v>
      </c>
      <c r="C16" s="76" t="s">
        <v>3729</v>
      </c>
      <c r="D16" s="76" t="s">
        <v>639</v>
      </c>
      <c r="E16" s="76" t="s">
        <v>3730</v>
      </c>
      <c r="F16" s="26" t="str">
        <f aca="false">(COUNTIFS('Control Library'!$A$5:$A$50,"AI-CTRL-039",'Control Library'!$R$5:$R$50,"Implemented")+COUNTIFS('Control Library'!$A$5:$A$50,"AI-CTRL-041",'Control Library'!$R$5:$R$50,"Implemented")+COUNTIFS('Control Library'!$A$5:$A$50,"AI-CTRL-042",'Control Library'!$R$5:$R$50,"Implemented")+COUNTIFS('Control Library'!$A$5:$A$50,"AI-CTRL-045",'Control Library'!$R$5:$R$50,"Implemented"))&amp;" of 4"</f>
        <v>0 of 4</v>
      </c>
      <c r="G16" s="43" t="str">
        <f aca="false">IF((COUNTIFS('Control Library'!$A$5:$A$50,"AI-CTRL-039",'Control Library'!$R$5:$R$50,"Implemented")+COUNTIFS('Control Library'!$A$5:$A$50,"AI-CTRL-041",'Control Library'!$R$5:$R$50,"Implemented")+COUNTIFS('Control Library'!$A$5:$A$50,"AI-CTRL-042",'Control Library'!$R$5:$R$50,"Implemented")+COUNTIFS('Control Library'!$A$5:$A$50,"AI-CTRL-045",'Control Library'!$R$5:$R$50,"Implemented"))=4,"Fully covered",IF((COUNTIFS('Control Library'!$A$5:$A$50,"AI-CTRL-039",'Control Library'!$R$5:$R$50,"Implemented")+COUNTIFS('Control Library'!$A$5:$A$50,"AI-CTRL-041",'Control Library'!$R$5:$R$50,"Implemented")+COUNTIFS('Control Library'!$A$5:$A$50,"AI-CTRL-042",'Control Library'!$R$5:$R$50,"Implemented")+COUNTIFS('Control Library'!$A$5:$A$50,"AI-CTRL-045",'Control Library'!$R$5:$R$50,"Implemented"))=0,"Not covered","Partly covered"))</f>
        <v>Not covered</v>
      </c>
    </row>
    <row r="17" customFormat="false" ht="35.05" hidden="false" customHeight="false" outlineLevel="0" collapsed="false">
      <c r="A17" s="36" t="s">
        <v>652</v>
      </c>
      <c r="B17" s="6" t="s">
        <v>3731</v>
      </c>
      <c r="C17" s="6" t="s">
        <v>3732</v>
      </c>
      <c r="D17" s="6" t="s">
        <v>495</v>
      </c>
      <c r="E17" s="6" t="s">
        <v>3733</v>
      </c>
      <c r="F17" s="26" t="str">
        <f aca="false">(COUNTIFS('Control Library'!$A$5:$A$50,"AI-CTRL-040",'Control Library'!$R$5:$R$50,"Implemented"))&amp;" of 1"</f>
        <v>0 of 1</v>
      </c>
      <c r="G17" s="43" t="str">
        <f aca="false">IF((COUNTIFS('Control Library'!$A$5:$A$50,"AI-CTRL-040",'Control Library'!$R$5:$R$50,"Implemented"))=1,"Fully covered",IF((COUNTIFS('Control Library'!$A$5:$A$50,"AI-CTRL-040",'Control Library'!$R$5:$R$50,"Implemented"))=0,"Not covered","Partly covered"))</f>
        <v>Not covered</v>
      </c>
    </row>
    <row r="18" customFormat="false" ht="23.85" hidden="false" customHeight="false" outlineLevel="0" collapsed="false">
      <c r="A18" s="36" t="s">
        <v>661</v>
      </c>
      <c r="B18" s="76" t="s">
        <v>3734</v>
      </c>
      <c r="C18" s="76" t="s">
        <v>3735</v>
      </c>
      <c r="D18" s="76" t="s">
        <v>660</v>
      </c>
      <c r="E18" s="76" t="s">
        <v>3736</v>
      </c>
      <c r="F18" s="26" t="str">
        <f aca="false">(COUNTIFS('Control Library'!$A$5:$A$50,"AI-CTRL-033",'Control Library'!$R$5:$R$50,"Implemented")+COUNTIFS('Control Library'!$A$5:$A$50,"AI-CTRL-039",'Control Library'!$R$5:$R$50,"Implemented")+COUNTIFS('Control Library'!$A$5:$A$50,"AI-CTRL-041",'Control Library'!$R$5:$R$50,"Implemented")+COUNTIFS('Control Library'!$A$5:$A$50,"AI-CTRL-045",'Control Library'!$R$5:$R$50,"Implemented"))&amp;" of 4"</f>
        <v>0 of 4</v>
      </c>
      <c r="G18" s="43" t="str">
        <f aca="false">IF((COUNTIFS('Control Library'!$A$5:$A$50,"AI-CTRL-033",'Control Library'!$R$5:$R$50,"Implemented")+COUNTIFS('Control Library'!$A$5:$A$50,"AI-CTRL-039",'Control Library'!$R$5:$R$50,"Implemented")+COUNTIFS('Control Library'!$A$5:$A$50,"AI-CTRL-041",'Control Library'!$R$5:$R$50,"Implemented")+COUNTIFS('Control Library'!$A$5:$A$50,"AI-CTRL-045",'Control Library'!$R$5:$R$50,"Implemented"))=4,"Fully covered",IF((COUNTIFS('Control Library'!$A$5:$A$50,"AI-CTRL-033",'Control Library'!$R$5:$R$50,"Implemented")+COUNTIFS('Control Library'!$A$5:$A$50,"AI-CTRL-039",'Control Library'!$R$5:$R$50,"Implemented")+COUNTIFS('Control Library'!$A$5:$A$50,"AI-CTRL-041",'Control Library'!$R$5:$R$50,"Implemented")+COUNTIFS('Control Library'!$A$5:$A$50,"AI-CTRL-045",'Control Library'!$R$5:$R$50,"Implemented"))=0,"Not covered","Partly covered"))</f>
        <v>Not covered</v>
      </c>
    </row>
    <row r="19" customFormat="false" ht="23.85" hidden="false" customHeight="false" outlineLevel="0" collapsed="false">
      <c r="A19" s="36" t="s">
        <v>665</v>
      </c>
      <c r="B19" s="6" t="s">
        <v>3737</v>
      </c>
      <c r="C19" s="6" t="s">
        <v>3738</v>
      </c>
      <c r="D19" s="6" t="s">
        <v>664</v>
      </c>
      <c r="E19" s="6" t="s">
        <v>3739</v>
      </c>
      <c r="F19" s="26" t="str">
        <f aca="false">(COUNTIFS('Control Library'!$A$5:$A$50,"AI-CTRL-008",'Control Library'!$R$5:$R$50,"Implemented")+COUNTIFS('Control Library'!$A$5:$A$50,"AI-CTRL-038",'Control Library'!$R$5:$R$50,"Implemented")+COUNTIFS('Control Library'!$A$5:$A$50,"AI-CTRL-041",'Control Library'!$R$5:$R$50,"Implemented"))&amp;" of 3"</f>
        <v>0 of 3</v>
      </c>
      <c r="G19" s="43" t="str">
        <f aca="false">IF((COUNTIFS('Control Library'!$A$5:$A$50,"AI-CTRL-008",'Control Library'!$R$5:$R$50,"Implemented")+COUNTIFS('Control Library'!$A$5:$A$50,"AI-CTRL-038",'Control Library'!$R$5:$R$50,"Implemented")+COUNTIFS('Control Library'!$A$5:$A$50,"AI-CTRL-041",'Control Library'!$R$5:$R$50,"Implemented"))=3,"Fully covered",IF((COUNTIFS('Control Library'!$A$5:$A$50,"AI-CTRL-008",'Control Library'!$R$5:$R$50,"Implemented")+COUNTIFS('Control Library'!$A$5:$A$50,"AI-CTRL-038",'Control Library'!$R$5:$R$50,"Implemented")+COUNTIFS('Control Library'!$A$5:$A$50,"AI-CTRL-041",'Control Library'!$R$5:$R$50,"Implemented"))=0,"Not covered","Partly covered"))</f>
        <v>Not covered</v>
      </c>
    </row>
    <row r="20" customFormat="false" ht="23.85" hidden="false" customHeight="false" outlineLevel="0" collapsed="false">
      <c r="A20" s="36" t="s">
        <v>647</v>
      </c>
      <c r="B20" s="76" t="s">
        <v>3740</v>
      </c>
      <c r="C20" s="76" t="s">
        <v>3741</v>
      </c>
      <c r="D20" s="76" t="s">
        <v>646</v>
      </c>
      <c r="E20" s="76" t="s">
        <v>3742</v>
      </c>
      <c r="F20" s="26" t="str">
        <f aca="false">(COUNTIFS('Control Library'!$A$5:$A$50,"AI-CTRL-014",'Control Library'!$R$5:$R$50,"Implemented")+COUNTIFS('Control Library'!$A$5:$A$50,"AI-CTRL-031",'Control Library'!$R$5:$R$50,"Implemented")+COUNTIFS('Control Library'!$A$5:$A$50,"AI-CTRL-033",'Control Library'!$R$5:$R$50,"Implemented")+COUNTIFS('Control Library'!$A$5:$A$50,"AI-CTRL-034",'Control Library'!$R$5:$R$50,"Implemented")+COUNTIFS('Control Library'!$A$5:$A$50,"AI-CTRL-040",'Control Library'!$R$5:$R$50,"Implemented"))&amp;" of 5"</f>
        <v>0 of 5</v>
      </c>
      <c r="G20" s="43" t="str">
        <f aca="false">IF((COUNTIFS('Control Library'!$A$5:$A$50,"AI-CTRL-014",'Control Library'!$R$5:$R$50,"Implemented")+COUNTIFS('Control Library'!$A$5:$A$50,"AI-CTRL-031",'Control Library'!$R$5:$R$50,"Implemented")+COUNTIFS('Control Library'!$A$5:$A$50,"AI-CTRL-033",'Control Library'!$R$5:$R$50,"Implemented")+COUNTIFS('Control Library'!$A$5:$A$50,"AI-CTRL-034",'Control Library'!$R$5:$R$50,"Implemented")+COUNTIFS('Control Library'!$A$5:$A$50,"AI-CTRL-040",'Control Library'!$R$5:$R$50,"Implemented"))=5,"Fully covered",IF((COUNTIFS('Control Library'!$A$5:$A$50,"AI-CTRL-014",'Control Library'!$R$5:$R$50,"Implemented")+COUNTIFS('Control Library'!$A$5:$A$50,"AI-CTRL-031",'Control Library'!$R$5:$R$50,"Implemented")+COUNTIFS('Control Library'!$A$5:$A$50,"AI-CTRL-033",'Control Library'!$R$5:$R$50,"Implemented")+COUNTIFS('Control Library'!$A$5:$A$50,"AI-CTRL-034",'Control Library'!$R$5:$R$50,"Implemented")+COUNTIFS('Control Library'!$A$5:$A$50,"AI-CTRL-040",'Control Library'!$R$5:$R$50,"Implemented"))=0,"Not covered","Partly covered"))</f>
        <v>Not covered</v>
      </c>
    </row>
    <row r="21" customFormat="false" ht="23.85" hidden="false" customHeight="false" outlineLevel="0" collapsed="false">
      <c r="A21" s="36" t="s">
        <v>671</v>
      </c>
      <c r="B21" s="6" t="s">
        <v>3743</v>
      </c>
      <c r="C21" s="6" t="s">
        <v>3744</v>
      </c>
      <c r="D21" s="6" t="s">
        <v>670</v>
      </c>
      <c r="E21" s="6" t="s">
        <v>3745</v>
      </c>
      <c r="F21" s="26" t="str">
        <f aca="false">(COUNTIFS('Control Library'!$A$5:$A$50,"AI-CTRL-017",'Control Library'!$R$5:$R$50,"Implemented")+COUNTIFS('Control Library'!$A$5:$A$50,"AI-CTRL-019",'Control Library'!$R$5:$R$50,"Implemented")+COUNTIFS('Control Library'!$A$5:$A$50,"AI-CTRL-034",'Control Library'!$R$5:$R$50,"Implemented"))&amp;" of 3"</f>
        <v>0 of 3</v>
      </c>
      <c r="G21" s="43" t="str">
        <f aca="false">IF((COUNTIFS('Control Library'!$A$5:$A$50,"AI-CTRL-017",'Control Library'!$R$5:$R$50,"Implemented")+COUNTIFS('Control Library'!$A$5:$A$50,"AI-CTRL-019",'Control Library'!$R$5:$R$50,"Implemented")+COUNTIFS('Control Library'!$A$5:$A$50,"AI-CTRL-034",'Control Library'!$R$5:$R$50,"Implemented"))=3,"Fully covered",IF((COUNTIFS('Control Library'!$A$5:$A$50,"AI-CTRL-017",'Control Library'!$R$5:$R$50,"Implemented")+COUNTIFS('Control Library'!$A$5:$A$50,"AI-CTRL-019",'Control Library'!$R$5:$R$50,"Implemented")+COUNTIFS('Control Library'!$A$5:$A$50,"AI-CTRL-034",'Control Library'!$R$5:$R$50,"Implemented"))=0,"Not covered","Partly covered"))</f>
        <v>Not covered</v>
      </c>
    </row>
    <row r="22" customFormat="false" ht="23.85" hidden="false" customHeight="false" outlineLevel="0" collapsed="false">
      <c r="A22" s="36" t="s">
        <v>656</v>
      </c>
      <c r="B22" s="76" t="s">
        <v>3746</v>
      </c>
      <c r="C22" s="76" t="s">
        <v>3747</v>
      </c>
      <c r="D22" s="76" t="s">
        <v>655</v>
      </c>
      <c r="E22" s="76" t="s">
        <v>3748</v>
      </c>
      <c r="F22" s="26" t="str">
        <f aca="false">(COUNTIFS('Control Library'!$A$5:$A$50,"AI-CTRL-011",'Control Library'!$R$5:$R$50,"Implemented")+COUNTIFS('Control Library'!$A$5:$A$50,"AI-CTRL-012",'Control Library'!$R$5:$R$50,"Implemented")+COUNTIFS('Control Library'!$A$5:$A$50,"AI-CTRL-037",'Control Library'!$R$5:$R$50,"Implemented")+COUNTIFS('Control Library'!$A$5:$A$50,"AI-CTRL-045",'Control Library'!$R$5:$R$50,"Implemented"))&amp;" of 4"</f>
        <v>0 of 4</v>
      </c>
      <c r="G22" s="43" t="str">
        <f aca="false">IF((COUNTIFS('Control Library'!$A$5:$A$50,"AI-CTRL-011",'Control Library'!$R$5:$R$50,"Implemented")+COUNTIFS('Control Library'!$A$5:$A$50,"AI-CTRL-012",'Control Library'!$R$5:$R$50,"Implemented")+COUNTIFS('Control Library'!$A$5:$A$50,"AI-CTRL-037",'Control Library'!$R$5:$R$50,"Implemented")+COUNTIFS('Control Library'!$A$5:$A$50,"AI-CTRL-045",'Control Library'!$R$5:$R$50,"Implemented"))=4,"Fully covered",IF((COUNTIFS('Control Library'!$A$5:$A$50,"AI-CTRL-011",'Control Library'!$R$5:$R$50,"Implemented")+COUNTIFS('Control Library'!$A$5:$A$50,"AI-CTRL-012",'Control Library'!$R$5:$R$50,"Implemented")+COUNTIFS('Control Library'!$A$5:$A$50,"AI-CTRL-037",'Control Library'!$R$5:$R$50,"Implemented")+COUNTIFS('Control Library'!$A$5:$A$50,"AI-CTRL-045",'Control Library'!$R$5:$R$50,"Implemented"))=0,"Not covered","Partly covered"))</f>
        <v>Not covered</v>
      </c>
    </row>
    <row r="23" customFormat="false" ht="35.05" hidden="false" customHeight="false" outlineLevel="0" collapsed="false">
      <c r="A23" s="36" t="s">
        <v>3749</v>
      </c>
      <c r="B23" s="6" t="s">
        <v>3750</v>
      </c>
      <c r="C23" s="6" t="s">
        <v>3751</v>
      </c>
      <c r="D23" s="6" t="s">
        <v>3752</v>
      </c>
      <c r="E23" s="6" t="s">
        <v>3753</v>
      </c>
      <c r="F23" s="26" t="str">
        <f aca="false">(COUNTIFS('Control Library'!$A$5:$A$50,"AI-CTRL-012",'Control Library'!$R$5:$R$50,"Implemented")+COUNTIFS('Control Library'!$A$5:$A$50,"AI-CTRL-023",'Control Library'!$R$5:$R$50,"Implemented")+COUNTIFS('Control Library'!$A$5:$A$50,"AI-CTRL-044",'Control Library'!$R$5:$R$50,"Implemented")+COUNTIFS('Control Library'!$A$5:$A$50,"AI-CTRL-045",'Control Library'!$R$5:$R$50,"Implemented"))&amp;" of 4"</f>
        <v>0 of 4</v>
      </c>
      <c r="G23" s="43" t="str">
        <f aca="false">IF((COUNTIFS('Control Library'!$A$5:$A$50,"AI-CTRL-012",'Control Library'!$R$5:$R$50,"Implemented")+COUNTIFS('Control Library'!$A$5:$A$50,"AI-CTRL-023",'Control Library'!$R$5:$R$50,"Implemented")+COUNTIFS('Control Library'!$A$5:$A$50,"AI-CTRL-044",'Control Library'!$R$5:$R$50,"Implemented")+COUNTIFS('Control Library'!$A$5:$A$50,"AI-CTRL-045",'Control Library'!$R$5:$R$50,"Implemented"))=4,"Fully covered",IF((COUNTIFS('Control Library'!$A$5:$A$50,"AI-CTRL-012",'Control Library'!$R$5:$R$50,"Implemented")+COUNTIFS('Control Library'!$A$5:$A$50,"AI-CTRL-023",'Control Library'!$R$5:$R$50,"Implemented")+COUNTIFS('Control Library'!$A$5:$A$50,"AI-CTRL-044",'Control Library'!$R$5:$R$50,"Implemented")+COUNTIFS('Control Library'!$A$5:$A$50,"AI-CTRL-045",'Control Library'!$R$5:$R$50,"Implemented"))=0,"Not covered","Partly covered"))</f>
        <v>Not covered</v>
      </c>
    </row>
    <row r="24" customFormat="false" ht="23.85" hidden="false" customHeight="false" outlineLevel="0" collapsed="false">
      <c r="A24" s="36" t="s">
        <v>675</v>
      </c>
      <c r="B24" s="76" t="s">
        <v>3754</v>
      </c>
      <c r="C24" s="76" t="s">
        <v>3755</v>
      </c>
      <c r="D24" s="76" t="s">
        <v>674</v>
      </c>
      <c r="E24" s="76" t="s">
        <v>3756</v>
      </c>
      <c r="F24" s="26" t="str">
        <f aca="false">(COUNTIFS('Control Library'!$A$5:$A$50,"AI-CTRL-034",'Control Library'!$R$5:$R$50,"Implemented")+COUNTIFS('Control Library'!$A$5:$A$50,"AI-CTRL-035",'Control Library'!$R$5:$R$50,"Implemented")+COUNTIFS('Control Library'!$A$5:$A$50,"AI-CTRL-039",'Control Library'!$R$5:$R$50,"Implemented"))&amp;" of 3"</f>
        <v>0 of 3</v>
      </c>
      <c r="G24" s="43" t="str">
        <f aca="false">IF((COUNTIFS('Control Library'!$A$5:$A$50,"AI-CTRL-034",'Control Library'!$R$5:$R$50,"Implemented")+COUNTIFS('Control Library'!$A$5:$A$50,"AI-CTRL-035",'Control Library'!$R$5:$R$50,"Implemented")+COUNTIFS('Control Library'!$A$5:$A$50,"AI-CTRL-039",'Control Library'!$R$5:$R$50,"Implemented"))=3,"Fully covered",IF((COUNTIFS('Control Library'!$A$5:$A$50,"AI-CTRL-034",'Control Library'!$R$5:$R$50,"Implemented")+COUNTIFS('Control Library'!$A$5:$A$50,"AI-CTRL-035",'Control Library'!$R$5:$R$50,"Implemented")+COUNTIFS('Control Library'!$A$5:$A$50,"AI-CTRL-039",'Control Library'!$R$5:$R$50,"Implemented"))=0,"Not covered","Partly covered"))</f>
        <v>Not covered</v>
      </c>
    </row>
    <row r="25" customFormat="false" ht="23.85" hidden="false" customHeight="false" outlineLevel="0" collapsed="false">
      <c r="A25" s="36" t="s">
        <v>718</v>
      </c>
      <c r="B25" s="6" t="s">
        <v>3757</v>
      </c>
      <c r="C25" s="6" t="s">
        <v>3758</v>
      </c>
      <c r="D25" s="6" t="s">
        <v>717</v>
      </c>
      <c r="E25" s="6" t="s">
        <v>3759</v>
      </c>
      <c r="F25" s="26" t="str">
        <f aca="false">(COUNTIFS('Control Library'!$A$5:$A$50,"AI-CTRL-025",'Control Library'!$R$5:$R$50,"Implemented")+COUNTIFS('Control Library'!$A$5:$A$50,"AI-CTRL-026",'Control Library'!$R$5:$R$50,"Implemented")+COUNTIFS('Control Library'!$A$5:$A$50,"AI-CTRL-027",'Control Library'!$R$5:$R$50,"Implemented"))&amp;" of 3"</f>
        <v>0 of 3</v>
      </c>
      <c r="G25" s="43" t="str">
        <f aca="false">IF((COUNTIFS('Control Library'!$A$5:$A$50,"AI-CTRL-025",'Control Library'!$R$5:$R$50,"Implemented")+COUNTIFS('Control Library'!$A$5:$A$50,"AI-CTRL-026",'Control Library'!$R$5:$R$50,"Implemented")+COUNTIFS('Control Library'!$A$5:$A$50,"AI-CTRL-027",'Control Library'!$R$5:$R$50,"Implemented"))=3,"Fully covered",IF((COUNTIFS('Control Library'!$A$5:$A$50,"AI-CTRL-025",'Control Library'!$R$5:$R$50,"Implemented")+COUNTIFS('Control Library'!$A$5:$A$50,"AI-CTRL-026",'Control Library'!$R$5:$R$50,"Implemented")+COUNTIFS('Control Library'!$A$5:$A$50,"AI-CTRL-027",'Control Library'!$R$5:$R$50,"Implemented"))=0,"Not covered","Partly covered"))</f>
        <v>Not covered</v>
      </c>
    </row>
    <row r="26" customFormat="false" ht="23.85" hidden="false" customHeight="false" outlineLevel="0" collapsed="false">
      <c r="A26" s="36" t="s">
        <v>722</v>
      </c>
      <c r="B26" s="76" t="s">
        <v>720</v>
      </c>
      <c r="C26" s="76" t="s">
        <v>3760</v>
      </c>
      <c r="D26" s="76" t="s">
        <v>721</v>
      </c>
      <c r="E26" s="76" t="s">
        <v>3761</v>
      </c>
      <c r="F26" s="26" t="str">
        <f aca="false">(COUNTIFS('Control Library'!$A$5:$A$50,"AI-CTRL-004",'Control Library'!$R$5:$R$50,"Implemented")+COUNTIFS('Control Library'!$A$5:$A$50,"AI-CTRL-015",'Control Library'!$R$5:$R$50,"Implemented")+COUNTIFS('Control Library'!$A$5:$A$50,"AI-CTRL-016",'Control Library'!$R$5:$R$50,"Implemented")+COUNTIFS('Control Library'!$A$5:$A$50,"AI-CTRL-027",'Control Library'!$R$5:$R$50,"Implemented"))&amp;" of 4"</f>
        <v>0 of 4</v>
      </c>
      <c r="G26" s="43" t="str">
        <f aca="false">IF((COUNTIFS('Control Library'!$A$5:$A$50,"AI-CTRL-004",'Control Library'!$R$5:$R$50,"Implemented")+COUNTIFS('Control Library'!$A$5:$A$50,"AI-CTRL-015",'Control Library'!$R$5:$R$50,"Implemented")+COUNTIFS('Control Library'!$A$5:$A$50,"AI-CTRL-016",'Control Library'!$R$5:$R$50,"Implemented")+COUNTIFS('Control Library'!$A$5:$A$50,"AI-CTRL-027",'Control Library'!$R$5:$R$50,"Implemented"))=4,"Fully covered",IF((COUNTIFS('Control Library'!$A$5:$A$50,"AI-CTRL-004",'Control Library'!$R$5:$R$50,"Implemented")+COUNTIFS('Control Library'!$A$5:$A$50,"AI-CTRL-015",'Control Library'!$R$5:$R$50,"Implemented")+COUNTIFS('Control Library'!$A$5:$A$50,"AI-CTRL-016",'Control Library'!$R$5:$R$50,"Implemented")+COUNTIFS('Control Library'!$A$5:$A$50,"AI-CTRL-027",'Control Library'!$R$5:$R$50,"Implemented"))=0,"Not covered","Partly covered"))</f>
        <v>Not covered</v>
      </c>
    </row>
    <row r="27" customFormat="false" ht="23.85" hidden="false" customHeight="false" outlineLevel="0" collapsed="false">
      <c r="A27" s="36" t="s">
        <v>726</v>
      </c>
      <c r="B27" s="6" t="s">
        <v>3762</v>
      </c>
      <c r="C27" s="6" t="s">
        <v>3763</v>
      </c>
      <c r="D27" s="6" t="s">
        <v>725</v>
      </c>
      <c r="E27" s="6" t="s">
        <v>3764</v>
      </c>
      <c r="F27" s="26" t="str">
        <f aca="false">(COUNTIFS('Control Library'!$A$5:$A$50,"AI-CTRL-024",'Control Library'!$R$5:$R$50,"Implemented")+COUNTIFS('Control Library'!$A$5:$A$50,"AI-CTRL-031",'Control Library'!$R$5:$R$50,"Implemented"))&amp;" of 2"</f>
        <v>0 of 2</v>
      </c>
      <c r="G27" s="43" t="str">
        <f aca="false">IF((COUNTIFS('Control Library'!$A$5:$A$50,"AI-CTRL-024",'Control Library'!$R$5:$R$50,"Implemented")+COUNTIFS('Control Library'!$A$5:$A$50,"AI-CTRL-031",'Control Library'!$R$5:$R$50,"Implemented"))=2,"Fully covered",IF((COUNTIFS('Control Library'!$A$5:$A$50,"AI-CTRL-024",'Control Library'!$R$5:$R$50,"Implemented")+COUNTIFS('Control Library'!$A$5:$A$50,"AI-CTRL-031",'Control Library'!$R$5:$R$50,"Implemented"))=0,"Not covered","Partly covered"))</f>
        <v>Not covered</v>
      </c>
    </row>
    <row r="28" customFormat="false" ht="23.85" hidden="false" customHeight="false" outlineLevel="0" collapsed="false">
      <c r="A28" s="36" t="s">
        <v>711</v>
      </c>
      <c r="B28" s="76" t="s">
        <v>709</v>
      </c>
      <c r="C28" s="76" t="s">
        <v>3765</v>
      </c>
      <c r="D28" s="76" t="s">
        <v>710</v>
      </c>
      <c r="E28" s="76" t="s">
        <v>3766</v>
      </c>
      <c r="F28" s="26" t="str">
        <f aca="false">(COUNTIFS('Control Library'!$A$5:$A$50,"AI-CTRL-005",'Control Library'!$R$5:$R$50,"Implemented")+COUNTIFS('Control Library'!$A$5:$A$50,"AI-CTRL-020",'Control Library'!$R$5:$R$50,"Implemented")+COUNTIFS('Control Library'!$A$5:$A$50,"AI-CTRL-022",'Control Library'!$R$5:$R$50,"Implemented")+COUNTIFS('Control Library'!$A$5:$A$50,"AI-CTRL-024",'Control Library'!$R$5:$R$50,"Implemented"))&amp;" of 4"</f>
        <v>0 of 4</v>
      </c>
      <c r="G28" s="43" t="str">
        <f aca="false">IF((COUNTIFS('Control Library'!$A$5:$A$50,"AI-CTRL-005",'Control Library'!$R$5:$R$50,"Implemented")+COUNTIFS('Control Library'!$A$5:$A$50,"AI-CTRL-020",'Control Library'!$R$5:$R$50,"Implemented")+COUNTIFS('Control Library'!$A$5:$A$50,"AI-CTRL-022",'Control Library'!$R$5:$R$50,"Implemented")+COUNTIFS('Control Library'!$A$5:$A$50,"AI-CTRL-024",'Control Library'!$R$5:$R$50,"Implemented"))=4,"Fully covered",IF((COUNTIFS('Control Library'!$A$5:$A$50,"AI-CTRL-005",'Control Library'!$R$5:$R$50,"Implemented")+COUNTIFS('Control Library'!$A$5:$A$50,"AI-CTRL-020",'Control Library'!$R$5:$R$50,"Implemented")+COUNTIFS('Control Library'!$A$5:$A$50,"AI-CTRL-022",'Control Library'!$R$5:$R$50,"Implemented")+COUNTIFS('Control Library'!$A$5:$A$50,"AI-CTRL-024",'Control Library'!$R$5:$R$50,"Implemented"))=0,"Not covered","Partly covered"))</f>
        <v>Not covered</v>
      </c>
    </row>
    <row r="29" customFormat="false" ht="23.85" hidden="false" customHeight="false" outlineLevel="0" collapsed="false">
      <c r="A29" s="36" t="s">
        <v>679</v>
      </c>
      <c r="B29" s="6" t="s">
        <v>3767</v>
      </c>
      <c r="C29" s="6" t="s">
        <v>3768</v>
      </c>
      <c r="D29" s="6" t="s">
        <v>678</v>
      </c>
      <c r="E29" s="6" t="s">
        <v>3769</v>
      </c>
      <c r="F29" s="26" t="str">
        <f aca="false">(COUNTIFS('Control Library'!$A$5:$A$50,"AI-CTRL-006",'Control Library'!$R$5:$R$50,"Implemented")+COUNTIFS('Control Library'!$A$5:$A$50,"AI-CTRL-015",'Control Library'!$R$5:$R$50,"Implemented")+COUNTIFS('Control Library'!$A$5:$A$50,"AI-CTRL-025",'Control Library'!$R$5:$R$50,"Implemented")+COUNTIFS('Control Library'!$A$5:$A$50,"AI-CTRL-027",'Control Library'!$R$5:$R$50,"Implemented"))&amp;" of 4"</f>
        <v>0 of 4</v>
      </c>
      <c r="G29" s="43" t="str">
        <f aca="false">IF((COUNTIFS('Control Library'!$A$5:$A$50,"AI-CTRL-006",'Control Library'!$R$5:$R$50,"Implemented")+COUNTIFS('Control Library'!$A$5:$A$50,"AI-CTRL-015",'Control Library'!$R$5:$R$50,"Implemented")+COUNTIFS('Control Library'!$A$5:$A$50,"AI-CTRL-025",'Control Library'!$R$5:$R$50,"Implemented")+COUNTIFS('Control Library'!$A$5:$A$50,"AI-CTRL-027",'Control Library'!$R$5:$R$50,"Implemented"))=4,"Fully covered",IF((COUNTIFS('Control Library'!$A$5:$A$50,"AI-CTRL-006",'Control Library'!$R$5:$R$50,"Implemented")+COUNTIFS('Control Library'!$A$5:$A$50,"AI-CTRL-015",'Control Library'!$R$5:$R$50,"Implemented")+COUNTIFS('Control Library'!$A$5:$A$50,"AI-CTRL-025",'Control Library'!$R$5:$R$50,"Implemented")+COUNTIFS('Control Library'!$A$5:$A$50,"AI-CTRL-027",'Control Library'!$R$5:$R$50,"Implemented"))=0,"Not covered","Partly covered"))</f>
        <v>Not covered</v>
      </c>
    </row>
    <row r="30" customFormat="false" ht="23.85" hidden="false" customHeight="false" outlineLevel="0" collapsed="false">
      <c r="A30" s="36" t="s">
        <v>3770</v>
      </c>
      <c r="B30" s="76" t="s">
        <v>3771</v>
      </c>
      <c r="C30" s="76" t="s">
        <v>3772</v>
      </c>
      <c r="D30" s="76" t="s">
        <v>3773</v>
      </c>
      <c r="E30" s="76" t="s">
        <v>3774</v>
      </c>
      <c r="F30" s="26" t="str">
        <f aca="false">(COUNTIFS('Control Library'!$A$5:$A$50,"AI-CTRL-008",'Control Library'!$R$5:$R$50,"Implemented")+COUNTIFS('Control Library'!$A$5:$A$50,"AI-CTRL-020",'Control Library'!$R$5:$R$50,"Implemented"))&amp;" of 2"</f>
        <v>0 of 2</v>
      </c>
      <c r="G30" s="43" t="str">
        <f aca="false">IF((COUNTIFS('Control Library'!$A$5:$A$50,"AI-CTRL-008",'Control Library'!$R$5:$R$50,"Implemented")+COUNTIFS('Control Library'!$A$5:$A$50,"AI-CTRL-020",'Control Library'!$R$5:$R$50,"Implemented"))=2,"Fully covered",IF((COUNTIFS('Control Library'!$A$5:$A$50,"AI-CTRL-008",'Control Library'!$R$5:$R$50,"Implemented")+COUNTIFS('Control Library'!$A$5:$A$50,"AI-CTRL-020",'Control Library'!$R$5:$R$50,"Implemented"))=0,"Not covered","Partly covered"))</f>
        <v>Not covered</v>
      </c>
    </row>
    <row r="31" customFormat="false" ht="23.85" hidden="false" customHeight="false" outlineLevel="0" collapsed="false">
      <c r="A31" s="36" t="s">
        <v>553</v>
      </c>
      <c r="B31" s="6" t="s">
        <v>3775</v>
      </c>
      <c r="C31" s="6" t="s">
        <v>3776</v>
      </c>
      <c r="D31" s="6" t="s">
        <v>691</v>
      </c>
      <c r="E31" s="6" t="s">
        <v>3777</v>
      </c>
      <c r="F31" s="26" t="str">
        <f aca="false">(COUNTIFS('Control Library'!$A$5:$A$50,"AI-CTRL-002",'Control Library'!$R$5:$R$50,"Implemented")+COUNTIFS('Control Library'!$A$5:$A$50,"AI-CTRL-003",'Control Library'!$R$5:$R$50,"Implemented")+COUNTIFS('Control Library'!$A$5:$A$50,"AI-CTRL-012",'Control Library'!$R$5:$R$50,"Implemented")+COUNTIFS('Control Library'!$A$5:$A$50,"AI-CTRL-013",'Control Library'!$R$5:$R$50,"Implemented")+COUNTIFS('Control Library'!$A$5:$A$50,"AI-CTRL-046",'Control Library'!$R$5:$R$50,"Implemented"))&amp;" of 5"</f>
        <v>0 of 5</v>
      </c>
      <c r="G31" s="43" t="str">
        <f aca="false">IF((COUNTIFS('Control Library'!$A$5:$A$50,"AI-CTRL-002",'Control Library'!$R$5:$R$50,"Implemented")+COUNTIFS('Control Library'!$A$5:$A$50,"AI-CTRL-003",'Control Library'!$R$5:$R$50,"Implemented")+COUNTIFS('Control Library'!$A$5:$A$50,"AI-CTRL-012",'Control Library'!$R$5:$R$50,"Implemented")+COUNTIFS('Control Library'!$A$5:$A$50,"AI-CTRL-013",'Control Library'!$R$5:$R$50,"Implemented")+COUNTIFS('Control Library'!$A$5:$A$50,"AI-CTRL-046",'Control Library'!$R$5:$R$50,"Implemented"))=5,"Fully covered",IF((COUNTIFS('Control Library'!$A$5:$A$50,"AI-CTRL-002",'Control Library'!$R$5:$R$50,"Implemented")+COUNTIFS('Control Library'!$A$5:$A$50,"AI-CTRL-003",'Control Library'!$R$5:$R$50,"Implemented")+COUNTIFS('Control Library'!$A$5:$A$50,"AI-CTRL-012",'Control Library'!$R$5:$R$50,"Implemented")+COUNTIFS('Control Library'!$A$5:$A$50,"AI-CTRL-013",'Control Library'!$R$5:$R$50,"Implemented")+COUNTIFS('Control Library'!$A$5:$A$50,"AI-CTRL-046",'Control Library'!$R$5:$R$50,"Implemented"))=0,"Not covered","Partly covered"))</f>
        <v>Not covered</v>
      </c>
    </row>
    <row r="32" customFormat="false" ht="35.05" hidden="false" customHeight="false" outlineLevel="0" collapsed="false">
      <c r="A32" s="36" t="s">
        <v>823</v>
      </c>
      <c r="B32" s="76" t="s">
        <v>3778</v>
      </c>
      <c r="C32" s="76" t="s">
        <v>3779</v>
      </c>
      <c r="D32" s="76" t="s">
        <v>822</v>
      </c>
      <c r="E32" s="76" t="s">
        <v>3780</v>
      </c>
      <c r="F32" s="26" t="str">
        <f aca="false">(COUNTIFS('Control Library'!$A$5:$A$50,"AI-CTRL-012",'Control Library'!$R$5:$R$50,"Implemented")+COUNTIFS('Control Library'!$A$5:$A$50,"AI-CTRL-013",'Control Library'!$R$5:$R$50,"Implemented")+COUNTIFS('Control Library'!$A$5:$A$50,"AI-CTRL-037",'Control Library'!$R$5:$R$50,"Implemented")+COUNTIFS('Control Library'!$A$5:$A$50,"AI-CTRL-038",'Control Library'!$R$5:$R$50,"Implemented")+COUNTIFS('Control Library'!$A$5:$A$50,"AI-CTRL-042",'Control Library'!$R$5:$R$50,"Implemented")+COUNTIFS('Control Library'!$A$5:$A$50,"AI-CTRL-045",'Control Library'!$R$5:$R$50,"Implemented"))&amp;" of 6"</f>
        <v>0 of 6</v>
      </c>
      <c r="G32" s="43" t="str">
        <f aca="false">IF((COUNTIFS('Control Library'!$A$5:$A$50,"AI-CTRL-012",'Control Library'!$R$5:$R$50,"Implemented")+COUNTIFS('Control Library'!$A$5:$A$50,"AI-CTRL-013",'Control Library'!$R$5:$R$50,"Implemented")+COUNTIFS('Control Library'!$A$5:$A$50,"AI-CTRL-037",'Control Library'!$R$5:$R$50,"Implemented")+COUNTIFS('Control Library'!$A$5:$A$50,"AI-CTRL-038",'Control Library'!$R$5:$R$50,"Implemented")+COUNTIFS('Control Library'!$A$5:$A$50,"AI-CTRL-042",'Control Library'!$R$5:$R$50,"Implemented")+COUNTIFS('Control Library'!$A$5:$A$50,"AI-CTRL-045",'Control Library'!$R$5:$R$50,"Implemented"))=6,"Fully covered",IF((COUNTIFS('Control Library'!$A$5:$A$50,"AI-CTRL-012",'Control Library'!$R$5:$R$50,"Implemented")+COUNTIFS('Control Library'!$A$5:$A$50,"AI-CTRL-013",'Control Library'!$R$5:$R$50,"Implemented")+COUNTIFS('Control Library'!$A$5:$A$50,"AI-CTRL-037",'Control Library'!$R$5:$R$50,"Implemented")+COUNTIFS('Control Library'!$A$5:$A$50,"AI-CTRL-038",'Control Library'!$R$5:$R$50,"Implemented")+COUNTIFS('Control Library'!$A$5:$A$50,"AI-CTRL-042",'Control Library'!$R$5:$R$50,"Implemented")+COUNTIFS('Control Library'!$A$5:$A$50,"AI-CTRL-045",'Control Library'!$R$5:$R$50,"Implemented"))=0,"Not covered","Partly covered"))</f>
        <v>Not covered</v>
      </c>
    </row>
    <row r="33" customFormat="false" ht="23.85" hidden="false" customHeight="false" outlineLevel="0" collapsed="false">
      <c r="A33" s="36" t="s">
        <v>827</v>
      </c>
      <c r="B33" s="6" t="s">
        <v>3781</v>
      </c>
      <c r="C33" s="6" t="s">
        <v>3782</v>
      </c>
      <c r="D33" s="6" t="s">
        <v>826</v>
      </c>
      <c r="E33" s="6" t="s">
        <v>3783</v>
      </c>
      <c r="F33" s="26" t="str">
        <f aca="false">(COUNTIFS('Control Library'!$A$5:$A$50,"AI-CTRL-011",'Control Library'!$R$5:$R$50,"Implemented")+COUNTIFS('Control Library'!$A$5:$A$50,"AI-CTRL-037",'Control Library'!$R$5:$R$50,"Implemented"))&amp;" of 2"</f>
        <v>0 of 2</v>
      </c>
      <c r="G33" s="43" t="str">
        <f aca="false">IF((COUNTIFS('Control Library'!$A$5:$A$50,"AI-CTRL-011",'Control Library'!$R$5:$R$50,"Implemented")+COUNTIFS('Control Library'!$A$5:$A$50,"AI-CTRL-037",'Control Library'!$R$5:$R$50,"Implemented"))=2,"Fully covered",IF((COUNTIFS('Control Library'!$A$5:$A$50,"AI-CTRL-011",'Control Library'!$R$5:$R$50,"Implemented")+COUNTIFS('Control Library'!$A$5:$A$50,"AI-CTRL-037",'Control Library'!$R$5:$R$50,"Implemented"))=0,"Not covered","Partly covered"))</f>
        <v>Not covered</v>
      </c>
    </row>
    <row r="34" customFormat="false" ht="23.85" hidden="false" customHeight="false" outlineLevel="0" collapsed="false">
      <c r="A34" s="36" t="s">
        <v>982</v>
      </c>
      <c r="B34" s="76" t="s">
        <v>3784</v>
      </c>
      <c r="C34" s="76" t="s">
        <v>3785</v>
      </c>
      <c r="D34" s="76" t="s">
        <v>3786</v>
      </c>
      <c r="E34" s="76" t="s">
        <v>3787</v>
      </c>
      <c r="F34" s="26" t="str">
        <f aca="false">(COUNTIFS('Control Library'!$A$5:$A$50,"AI-CTRL-036",'Control Library'!$R$5:$R$50,"Implemented")+COUNTIFS('Control Library'!$A$5:$A$50,"AI-CTRL-014",'Control Library'!$R$5:$R$50,"Implemented")+COUNTIFS('Control Library'!$A$5:$A$50,"AI-CTRL-037",'Control Library'!$R$5:$R$50,"Implemented"))&amp;" of 3"</f>
        <v>0 of 3</v>
      </c>
      <c r="G34" s="43" t="str">
        <f aca="false">IF((COUNTIFS('Control Library'!$A$5:$A$50,"AI-CTRL-036",'Control Library'!$R$5:$R$50,"Implemented")+COUNTIFS('Control Library'!$A$5:$A$50,"AI-CTRL-014",'Control Library'!$R$5:$R$50,"Implemented")+COUNTIFS('Control Library'!$A$5:$A$50,"AI-CTRL-037",'Control Library'!$R$5:$R$50,"Implemented"))=3,"Fully covered",IF((COUNTIFS('Control Library'!$A$5:$A$50,"AI-CTRL-036",'Control Library'!$R$5:$R$50,"Implemented")+COUNTIFS('Control Library'!$A$5:$A$50,"AI-CTRL-014",'Control Library'!$R$5:$R$50,"Implemented")+COUNTIFS('Control Library'!$A$5:$A$50,"AI-CTRL-037",'Control Library'!$R$5:$R$50,"Implemented"))=0,"Not covered","Partly covered"))</f>
        <v>Not covered</v>
      </c>
    </row>
    <row r="35" customFormat="false" ht="35.05" hidden="false" customHeight="false" outlineLevel="0" collapsed="false">
      <c r="A35" s="36" t="s">
        <v>952</v>
      </c>
      <c r="B35" s="6" t="s">
        <v>3788</v>
      </c>
      <c r="C35" s="6" t="s">
        <v>3789</v>
      </c>
      <c r="D35" s="6" t="s">
        <v>951</v>
      </c>
      <c r="E35" s="6" t="s">
        <v>3790</v>
      </c>
      <c r="F35" s="26" t="str">
        <f aca="false">(COUNTIFS('Control Library'!$A$5:$A$50,"AI-CTRL-014",'Control Library'!$R$5:$R$50,"Implemented")+COUNTIFS('Control Library'!$A$5:$A$50,"AI-CTRL-031",'Control Library'!$R$5:$R$50,"Implemented")+COUNTIFS('Control Library'!$A$5:$A$50,"AI-CTRL-040",'Control Library'!$R$5:$R$50,"Implemented"))&amp;" of 3"</f>
        <v>0 of 3</v>
      </c>
      <c r="G35" s="43" t="str">
        <f aca="false">IF((COUNTIFS('Control Library'!$A$5:$A$50,"AI-CTRL-014",'Control Library'!$R$5:$R$50,"Implemented")+COUNTIFS('Control Library'!$A$5:$A$50,"AI-CTRL-031",'Control Library'!$R$5:$R$50,"Implemented")+COUNTIFS('Control Library'!$A$5:$A$50,"AI-CTRL-040",'Control Library'!$R$5:$R$50,"Implemented"))=3,"Fully covered",IF((COUNTIFS('Control Library'!$A$5:$A$50,"AI-CTRL-014",'Control Library'!$R$5:$R$50,"Implemented")+COUNTIFS('Control Library'!$A$5:$A$50,"AI-CTRL-031",'Control Library'!$R$5:$R$50,"Implemented")+COUNTIFS('Control Library'!$A$5:$A$50,"AI-CTRL-040",'Control Library'!$R$5:$R$50,"Implemented"))=0,"Not covered","Partly covered"))</f>
        <v>Not covered</v>
      </c>
    </row>
    <row r="36" customFormat="false" ht="35.05" hidden="false" customHeight="false" outlineLevel="0" collapsed="false">
      <c r="A36" s="36" t="s">
        <v>3791</v>
      </c>
      <c r="B36" s="76" t="s">
        <v>3792</v>
      </c>
      <c r="C36" s="76" t="s">
        <v>3793</v>
      </c>
      <c r="D36" s="76" t="s">
        <v>3794</v>
      </c>
      <c r="E36" s="76" t="s">
        <v>3795</v>
      </c>
      <c r="F36" s="26" t="str">
        <f aca="false">(COUNTIFS('Control Library'!$A$5:$A$50,"AI-CTRL-011",'Control Library'!$R$5:$R$50,"Implemented")+COUNTIFS('Control Library'!$A$5:$A$50,"AI-CTRL-031",'Control Library'!$R$5:$R$50,"Implemented")+COUNTIFS('Control Library'!$A$5:$A$50,"AI-CTRL-034",'Control Library'!$R$5:$R$50,"Implemented"))&amp;" of 3"</f>
        <v>0 of 3</v>
      </c>
      <c r="G36" s="43" t="str">
        <f aca="false">IF((COUNTIFS('Control Library'!$A$5:$A$50,"AI-CTRL-011",'Control Library'!$R$5:$R$50,"Implemented")+COUNTIFS('Control Library'!$A$5:$A$50,"AI-CTRL-031",'Control Library'!$R$5:$R$50,"Implemented")+COUNTIFS('Control Library'!$A$5:$A$50,"AI-CTRL-034",'Control Library'!$R$5:$R$50,"Implemented"))=3,"Fully covered",IF((COUNTIFS('Control Library'!$A$5:$A$50,"AI-CTRL-011",'Control Library'!$R$5:$R$50,"Implemented")+COUNTIFS('Control Library'!$A$5:$A$50,"AI-CTRL-031",'Control Library'!$R$5:$R$50,"Implemented")+COUNTIFS('Control Library'!$A$5:$A$50,"AI-CTRL-034",'Control Library'!$R$5:$R$50,"Implemented"))=0,"Not covered","Partly covered"))</f>
        <v>Not covered</v>
      </c>
    </row>
    <row r="37" customFormat="false" ht="35.05" hidden="false" customHeight="false" outlineLevel="0" collapsed="false">
      <c r="A37" s="36" t="s">
        <v>963</v>
      </c>
      <c r="B37" s="6" t="s">
        <v>3796</v>
      </c>
      <c r="C37" s="6" t="s">
        <v>3797</v>
      </c>
      <c r="D37" s="6" t="s">
        <v>3798</v>
      </c>
      <c r="E37" s="6" t="s">
        <v>3799</v>
      </c>
      <c r="F37" s="26" t="str">
        <f aca="false">(COUNTIFS('Control Library'!$A$5:$A$50,"AI-CTRL-044",'Control Library'!$R$5:$R$50,"Implemented")+COUNTIFS('Control Library'!$A$5:$A$50,"AI-CTRL-040",'Control Library'!$R$5:$R$50,"Implemented")+COUNTIFS('Control Library'!$A$5:$A$50,"AI-CTRL-045",'Control Library'!$R$5:$R$50,"Implemented"))&amp;" of 3"</f>
        <v>0 of 3</v>
      </c>
      <c r="G37" s="43" t="str">
        <f aca="false">IF((COUNTIFS('Control Library'!$A$5:$A$50,"AI-CTRL-044",'Control Library'!$R$5:$R$50,"Implemented")+COUNTIFS('Control Library'!$A$5:$A$50,"AI-CTRL-040",'Control Library'!$R$5:$R$50,"Implemented")+COUNTIFS('Control Library'!$A$5:$A$50,"AI-CTRL-045",'Control Library'!$R$5:$R$50,"Implemented"))=3,"Fully covered",IF((COUNTIFS('Control Library'!$A$5:$A$50,"AI-CTRL-044",'Control Library'!$R$5:$R$50,"Implemented")+COUNTIFS('Control Library'!$A$5:$A$50,"AI-CTRL-040",'Control Library'!$R$5:$R$50,"Implemented")+COUNTIFS('Control Library'!$A$5:$A$50,"AI-CTRL-045",'Control Library'!$R$5:$R$50,"Implemented"))=0,"Not covered","Partly covered"))</f>
        <v>Not covered</v>
      </c>
    </row>
    <row r="38" customFormat="false" ht="23.85" hidden="false" customHeight="false" outlineLevel="0" collapsed="false">
      <c r="A38" s="36" t="s">
        <v>974</v>
      </c>
      <c r="B38" s="76" t="s">
        <v>3800</v>
      </c>
      <c r="C38" s="76" t="s">
        <v>3801</v>
      </c>
      <c r="D38" s="76" t="s">
        <v>3802</v>
      </c>
      <c r="E38" s="76" t="s">
        <v>3803</v>
      </c>
      <c r="F38" s="26" t="str">
        <f aca="false">(COUNTIFS('Control Library'!$A$5:$A$50,"AI-CTRL-044",'Control Library'!$R$5:$R$50,"Implemented")+COUNTIFS('Control Library'!$A$5:$A$50,"AI-CTRL-012",'Control Library'!$R$5:$R$50,"Implemented"))&amp;" of 2"</f>
        <v>0 of 2</v>
      </c>
      <c r="G38" s="43" t="str">
        <f aca="false">IF((COUNTIFS('Control Library'!$A$5:$A$50,"AI-CTRL-044",'Control Library'!$R$5:$R$50,"Implemented")+COUNTIFS('Control Library'!$A$5:$A$50,"AI-CTRL-012",'Control Library'!$R$5:$R$50,"Implemented"))=2,"Fully covered",IF((COUNTIFS('Control Library'!$A$5:$A$50,"AI-CTRL-044",'Control Library'!$R$5:$R$50,"Implemented")+COUNTIFS('Control Library'!$A$5:$A$50,"AI-CTRL-012",'Control Library'!$R$5:$R$50,"Implemented"))=0,"Not covered","Partly covered"))</f>
        <v>Not covered</v>
      </c>
    </row>
    <row r="39" customFormat="false" ht="23.85" hidden="false" customHeight="false" outlineLevel="0" collapsed="false">
      <c r="A39" s="36" t="s">
        <v>1146</v>
      </c>
      <c r="B39" s="6" t="s">
        <v>3804</v>
      </c>
      <c r="C39" s="6" t="s">
        <v>3805</v>
      </c>
      <c r="D39" s="6" t="s">
        <v>462</v>
      </c>
      <c r="E39" s="6" t="s">
        <v>3806</v>
      </c>
      <c r="F39" s="26" t="str">
        <f aca="false">(COUNTIFS('Control Library'!$A$5:$A$50,"AI-CTRL-036",'Control Library'!$R$5:$R$50,"Implemented"))&amp;" of 1"</f>
        <v>0 of 1</v>
      </c>
      <c r="G39" s="43" t="str">
        <f aca="false">IF((COUNTIFS('Control Library'!$A$5:$A$50,"AI-CTRL-036",'Control Library'!$R$5:$R$50,"Implemented"))=1,"Fully covered",IF((COUNTIFS('Control Library'!$A$5:$A$50,"AI-CTRL-036",'Control Library'!$R$5:$R$50,"Implemented"))=0,"Not covered","Partly covered"))</f>
        <v>Not covered</v>
      </c>
    </row>
    <row r="40" customFormat="false" ht="23.85" hidden="false" customHeight="false" outlineLevel="0" collapsed="false">
      <c r="A40" s="36" t="s">
        <v>3807</v>
      </c>
      <c r="B40" s="76" t="s">
        <v>3808</v>
      </c>
      <c r="C40" s="76" t="s">
        <v>3809</v>
      </c>
      <c r="D40" s="76" t="s">
        <v>3810</v>
      </c>
      <c r="E40" s="76" t="s">
        <v>3811</v>
      </c>
      <c r="F40" s="26" t="str">
        <f aca="false">(COUNTIFS('Control Library'!$A$5:$A$50,"AI-CTRL-046",'Control Library'!$R$5:$R$50,"Implemented")+COUNTIFS('Control Library'!$A$5:$A$50,"AI-CTRL-031",'Control Library'!$R$5:$R$50,"Implemented")+COUNTIFS('Control Library'!$A$5:$A$50,"AI-CTRL-014",'Control Library'!$R$5:$R$50,"Implemented"))&amp;" of 3"</f>
        <v>0 of 3</v>
      </c>
      <c r="G40" s="43" t="str">
        <f aca="false">IF((COUNTIFS('Control Library'!$A$5:$A$50,"AI-CTRL-046",'Control Library'!$R$5:$R$50,"Implemented")+COUNTIFS('Control Library'!$A$5:$A$50,"AI-CTRL-031",'Control Library'!$R$5:$R$50,"Implemented")+COUNTIFS('Control Library'!$A$5:$A$50,"AI-CTRL-014",'Control Library'!$R$5:$R$50,"Implemented"))=3,"Fully covered",IF((COUNTIFS('Control Library'!$A$5:$A$50,"AI-CTRL-046",'Control Library'!$R$5:$R$50,"Implemented")+COUNTIFS('Control Library'!$A$5:$A$50,"AI-CTRL-031",'Control Library'!$R$5:$R$50,"Implemented")+COUNTIFS('Control Library'!$A$5:$A$50,"AI-CTRL-014",'Control Library'!$R$5:$R$50,"Implemented"))=0,"Not covered","Partly covered"))</f>
        <v>Not covered</v>
      </c>
    </row>
    <row r="41" customFormat="false" ht="23.85" hidden="false" customHeight="false" outlineLevel="0" collapsed="false">
      <c r="A41" s="36" t="s">
        <v>3812</v>
      </c>
      <c r="B41" s="6" t="s">
        <v>3813</v>
      </c>
      <c r="C41" s="6" t="s">
        <v>3814</v>
      </c>
      <c r="D41" s="6" t="s">
        <v>3815</v>
      </c>
      <c r="E41" s="6" t="s">
        <v>3816</v>
      </c>
      <c r="F41" s="26" t="str">
        <f aca="false">(COUNTIFS('Control Library'!$A$5:$A$50,"AI-CTRL-011",'Control Library'!$R$5:$R$50,"Implemented")+COUNTIFS('Control Library'!$A$5:$A$50,"AI-CTRL-013",'Control Library'!$R$5:$R$50,"Implemented")+COUNTIFS('Control Library'!$A$5:$A$50,"AI-CTRL-037",'Control Library'!$R$5:$R$50,"Implemented"))&amp;" of 3"</f>
        <v>0 of 3</v>
      </c>
      <c r="G41" s="43" t="str">
        <f aca="false">IF((COUNTIFS('Control Library'!$A$5:$A$50,"AI-CTRL-011",'Control Library'!$R$5:$R$50,"Implemented")+COUNTIFS('Control Library'!$A$5:$A$50,"AI-CTRL-013",'Control Library'!$R$5:$R$50,"Implemented")+COUNTIFS('Control Library'!$A$5:$A$50,"AI-CTRL-037",'Control Library'!$R$5:$R$50,"Implemented"))=3,"Fully covered",IF((COUNTIFS('Control Library'!$A$5:$A$50,"AI-CTRL-011",'Control Library'!$R$5:$R$50,"Implemented")+COUNTIFS('Control Library'!$A$5:$A$50,"AI-CTRL-013",'Control Library'!$R$5:$R$50,"Implemented")+COUNTIFS('Control Library'!$A$5:$A$50,"AI-CTRL-037",'Control Library'!$R$5:$R$50,"Implemented"))=0,"Not covered","Partly covered"))</f>
        <v>Not covered</v>
      </c>
    </row>
    <row r="42" customFormat="false" ht="23.85" hidden="false" customHeight="false" outlineLevel="0" collapsed="false">
      <c r="A42" s="36" t="s">
        <v>3817</v>
      </c>
      <c r="B42" s="76" t="s">
        <v>3818</v>
      </c>
      <c r="C42" s="76" t="s">
        <v>3819</v>
      </c>
      <c r="D42" s="76" t="s">
        <v>3820</v>
      </c>
      <c r="E42" s="76" t="s">
        <v>3821</v>
      </c>
      <c r="F42" s="26" t="str">
        <f aca="false">(COUNTIFS('Control Library'!$A$5:$A$50,"AI-CTRL-008",'Control Library'!$R$5:$R$50,"Implemented")+COUNTIFS('Control Library'!$A$5:$A$50,"AI-CTRL-038",'Control Library'!$R$5:$R$50,"Implemented")+COUNTIFS('Control Library'!$A$5:$A$50,"AI-CTRL-035",'Control Library'!$R$5:$R$50,"Implemented"))&amp;" of 3"</f>
        <v>0 of 3</v>
      </c>
      <c r="G42" s="43" t="str">
        <f aca="false">IF((COUNTIFS('Control Library'!$A$5:$A$50,"AI-CTRL-008",'Control Library'!$R$5:$R$50,"Implemented")+COUNTIFS('Control Library'!$A$5:$A$50,"AI-CTRL-038",'Control Library'!$R$5:$R$50,"Implemented")+COUNTIFS('Control Library'!$A$5:$A$50,"AI-CTRL-035",'Control Library'!$R$5:$R$50,"Implemented"))=3,"Fully covered",IF((COUNTIFS('Control Library'!$A$5:$A$50,"AI-CTRL-008",'Control Library'!$R$5:$R$50,"Implemented")+COUNTIFS('Control Library'!$A$5:$A$50,"AI-CTRL-038",'Control Library'!$R$5:$R$50,"Implemented")+COUNTIFS('Control Library'!$A$5:$A$50,"AI-CTRL-035",'Control Library'!$R$5:$R$50,"Implemented"))=0,"Not covered","Partly covered"))</f>
        <v>Not covered</v>
      </c>
    </row>
    <row r="43" customFormat="false" ht="23.85" hidden="false" customHeight="false" outlineLevel="0" collapsed="false">
      <c r="A43" s="36" t="s">
        <v>3822</v>
      </c>
      <c r="B43" s="6" t="s">
        <v>3823</v>
      </c>
      <c r="C43" s="6" t="s">
        <v>3824</v>
      </c>
      <c r="D43" s="6" t="s">
        <v>3825</v>
      </c>
      <c r="E43" s="6" t="s">
        <v>3826</v>
      </c>
      <c r="F43" s="26" t="str">
        <f aca="false">(COUNTIFS('Control Library'!$A$5:$A$50,"AI-CTRL-033",'Control Library'!$R$5:$R$50,"Implemented")+COUNTIFS('Control Library'!$A$5:$A$50,"AI-CTRL-034",'Control Library'!$R$5:$R$50,"Implemented")+COUNTIFS('Control Library'!$A$5:$A$50,"AI-CTRL-038",'Control Library'!$R$5:$R$50,"Implemented"))&amp;" of 3"</f>
        <v>0 of 3</v>
      </c>
      <c r="G43" s="43" t="str">
        <f aca="false">IF((COUNTIFS('Control Library'!$A$5:$A$50,"AI-CTRL-033",'Control Library'!$R$5:$R$50,"Implemented")+COUNTIFS('Control Library'!$A$5:$A$50,"AI-CTRL-034",'Control Library'!$R$5:$R$50,"Implemented")+COUNTIFS('Control Library'!$A$5:$A$50,"AI-CTRL-038",'Control Library'!$R$5:$R$50,"Implemented"))=3,"Fully covered",IF((COUNTIFS('Control Library'!$A$5:$A$50,"AI-CTRL-033",'Control Library'!$R$5:$R$50,"Implemented")+COUNTIFS('Control Library'!$A$5:$A$50,"AI-CTRL-034",'Control Library'!$R$5:$R$50,"Implemented")+COUNTIFS('Control Library'!$A$5:$A$50,"AI-CTRL-038",'Control Library'!$R$5:$R$50,"Implemented"))=0,"Not covered","Partly covered"))</f>
        <v>Not covered</v>
      </c>
    </row>
    <row r="44" customFormat="false" ht="35.05" hidden="false" customHeight="false" outlineLevel="0" collapsed="false">
      <c r="A44" s="36" t="s">
        <v>3827</v>
      </c>
      <c r="B44" s="76" t="s">
        <v>3828</v>
      </c>
      <c r="C44" s="76" t="s">
        <v>3829</v>
      </c>
      <c r="D44" s="76" t="s">
        <v>3830</v>
      </c>
      <c r="E44" s="76" t="s">
        <v>3831</v>
      </c>
      <c r="F44" s="26" t="str">
        <f aca="false">(COUNTIFS('Control Library'!$A$5:$A$50,"AI-CTRL-038",'Control Library'!$R$5:$R$50,"Implemented")+COUNTIFS('Control Library'!$A$5:$A$50,"AI-CTRL-011",'Control Library'!$R$5:$R$50,"Implemented")+COUNTIFS('Control Library'!$A$5:$A$50,"AI-CTRL-008",'Control Library'!$R$5:$R$50,"Implemented"))&amp;" of 3"</f>
        <v>0 of 3</v>
      </c>
      <c r="G44" s="43" t="str">
        <f aca="false">IF((COUNTIFS('Control Library'!$A$5:$A$50,"AI-CTRL-038",'Control Library'!$R$5:$R$50,"Implemented")+COUNTIFS('Control Library'!$A$5:$A$50,"AI-CTRL-011",'Control Library'!$R$5:$R$50,"Implemented")+COUNTIFS('Control Library'!$A$5:$A$50,"AI-CTRL-008",'Control Library'!$R$5:$R$50,"Implemented"))=3,"Fully covered",IF((COUNTIFS('Control Library'!$A$5:$A$50,"AI-CTRL-038",'Control Library'!$R$5:$R$50,"Implemented")+COUNTIFS('Control Library'!$A$5:$A$50,"AI-CTRL-011",'Control Library'!$R$5:$R$50,"Implemented")+COUNTIFS('Control Library'!$A$5:$A$50,"AI-CTRL-008",'Control Library'!$R$5:$R$50,"Implemented"))=0,"Not covered","Partly covered"))</f>
        <v>Not covered</v>
      </c>
    </row>
    <row r="45" customFormat="false" ht="23.85" hidden="false" customHeight="false" outlineLevel="0" collapsed="false">
      <c r="A45" s="36" t="s">
        <v>3832</v>
      </c>
      <c r="B45" s="6" t="s">
        <v>3833</v>
      </c>
      <c r="C45" s="6" t="s">
        <v>3834</v>
      </c>
      <c r="D45" s="6" t="s">
        <v>3835</v>
      </c>
      <c r="E45" s="6" t="s">
        <v>3836</v>
      </c>
      <c r="F45" s="26" t="str">
        <f aca="false">(COUNTIFS('Control Library'!$A$5:$A$50,"AI-CTRL-012",'Control Library'!$R$5:$R$50,"Implemented")+COUNTIFS('Control Library'!$A$5:$A$50,"AI-CTRL-014",'Control Library'!$R$5:$R$50,"Implemented")+COUNTIFS('Control Library'!$A$5:$A$50,"AI-CTRL-039",'Control Library'!$R$5:$R$50,"Implemented"))&amp;" of 3"</f>
        <v>0 of 3</v>
      </c>
      <c r="G45" s="43" t="str">
        <f aca="false">IF((COUNTIFS('Control Library'!$A$5:$A$50,"AI-CTRL-012",'Control Library'!$R$5:$R$50,"Implemented")+COUNTIFS('Control Library'!$A$5:$A$50,"AI-CTRL-014",'Control Library'!$R$5:$R$50,"Implemented")+COUNTIFS('Control Library'!$A$5:$A$50,"AI-CTRL-039",'Control Library'!$R$5:$R$50,"Implemented"))=3,"Fully covered",IF((COUNTIFS('Control Library'!$A$5:$A$50,"AI-CTRL-012",'Control Library'!$R$5:$R$50,"Implemented")+COUNTIFS('Control Library'!$A$5:$A$50,"AI-CTRL-014",'Control Library'!$R$5:$R$50,"Implemented")+COUNTIFS('Control Library'!$A$5:$A$50,"AI-CTRL-039",'Control Library'!$R$5:$R$50,"Implemented"))=0,"Not covered","Partly covered"))</f>
        <v>Not covered</v>
      </c>
    </row>
    <row r="46" customFormat="false" ht="35.05" hidden="false" customHeight="false" outlineLevel="0" collapsed="false">
      <c r="A46" s="36" t="s">
        <v>3837</v>
      </c>
      <c r="B46" s="76" t="s">
        <v>3838</v>
      </c>
      <c r="C46" s="76" t="s">
        <v>3839</v>
      </c>
      <c r="D46" s="76" t="s">
        <v>3840</v>
      </c>
      <c r="E46" s="76" t="s">
        <v>3841</v>
      </c>
      <c r="F46" s="26" t="str">
        <f aca="false">(COUNTIFS('Control Library'!$A$5:$A$50,"AI-CTRL-045",'Control Library'!$R$5:$R$50,"Implemented")+COUNTIFS('Control Library'!$A$5:$A$50,"AI-CTRL-039",'Control Library'!$R$5:$R$50,"Implemented")+COUNTIFS('Control Library'!$A$5:$A$50,"AI-CTRL-012",'Control Library'!$R$5:$R$50,"Implemented"))&amp;" of 3"</f>
        <v>0 of 3</v>
      </c>
      <c r="G46" s="43" t="str">
        <f aca="false">IF((COUNTIFS('Control Library'!$A$5:$A$50,"AI-CTRL-045",'Control Library'!$R$5:$R$50,"Implemented")+COUNTIFS('Control Library'!$A$5:$A$50,"AI-CTRL-039",'Control Library'!$R$5:$R$50,"Implemented")+COUNTIFS('Control Library'!$A$5:$A$50,"AI-CTRL-012",'Control Library'!$R$5:$R$50,"Implemented"))=3,"Fully covered",IF((COUNTIFS('Control Library'!$A$5:$A$50,"AI-CTRL-045",'Control Library'!$R$5:$R$50,"Implemented")+COUNTIFS('Control Library'!$A$5:$A$50,"AI-CTRL-039",'Control Library'!$R$5:$R$50,"Implemented")+COUNTIFS('Control Library'!$A$5:$A$50,"AI-CTRL-012",'Control Library'!$R$5:$R$50,"Implemented"))=0,"Not covered","Partly covered"))</f>
        <v>Not covered</v>
      </c>
    </row>
    <row r="47" customFormat="false" ht="23.85" hidden="false" customHeight="false" outlineLevel="0" collapsed="false">
      <c r="A47" s="36" t="s">
        <v>3842</v>
      </c>
      <c r="B47" s="6" t="s">
        <v>3843</v>
      </c>
      <c r="C47" s="6" t="s">
        <v>3844</v>
      </c>
      <c r="D47" s="6" t="s">
        <v>3845</v>
      </c>
      <c r="E47" s="6" t="s">
        <v>3846</v>
      </c>
      <c r="F47" s="26" t="str">
        <f aca="false">(COUNTIFS('Control Library'!$A$5:$A$50,"AI-CTRL-031",'Control Library'!$R$5:$R$50,"Implemented")+COUNTIFS('Control Library'!$A$5:$A$50,"AI-CTRL-004",'Control Library'!$R$5:$R$50,"Implemented")+COUNTIFS('Control Library'!$A$5:$A$50,"AI-CTRL-033",'Control Library'!$R$5:$R$50,"Implemented"))&amp;" of 3"</f>
        <v>0 of 3</v>
      </c>
      <c r="G47" s="43" t="str">
        <f aca="false">IF((COUNTIFS('Control Library'!$A$5:$A$50,"AI-CTRL-031",'Control Library'!$R$5:$R$50,"Implemented")+COUNTIFS('Control Library'!$A$5:$A$50,"AI-CTRL-004",'Control Library'!$R$5:$R$50,"Implemented")+COUNTIFS('Control Library'!$A$5:$A$50,"AI-CTRL-033",'Control Library'!$R$5:$R$50,"Implemented"))=3,"Fully covered",IF((COUNTIFS('Control Library'!$A$5:$A$50,"AI-CTRL-031",'Control Library'!$R$5:$R$50,"Implemented")+COUNTIFS('Control Library'!$A$5:$A$50,"AI-CTRL-004",'Control Library'!$R$5:$R$50,"Implemented")+COUNTIFS('Control Library'!$A$5:$A$50,"AI-CTRL-033",'Control Library'!$R$5:$R$50,"Implemented"))=0,"Not covered","Partly covered"))</f>
        <v>Not covered</v>
      </c>
    </row>
    <row r="48" customFormat="false" ht="35.05" hidden="false" customHeight="false" outlineLevel="0" collapsed="false">
      <c r="A48" s="36" t="s">
        <v>3847</v>
      </c>
      <c r="B48" s="76" t="s">
        <v>3848</v>
      </c>
      <c r="C48" s="76" t="s">
        <v>3849</v>
      </c>
      <c r="D48" s="76" t="s">
        <v>3850</v>
      </c>
      <c r="E48" s="76" t="s">
        <v>3851</v>
      </c>
      <c r="F48" s="26" t="str">
        <f aca="false">(COUNTIFS('Control Library'!$A$5:$A$50,"AI-CTRL-031",'Control Library'!$R$5:$R$50,"Implemented")+COUNTIFS('Control Library'!$A$5:$A$50,"AI-CTRL-034",'Control Library'!$R$5:$R$50,"Implemented")+COUNTIFS('Control Library'!$A$5:$A$50,"AI-CTRL-033",'Control Library'!$R$5:$R$50,"Implemented"))&amp;" of 3"</f>
        <v>0 of 3</v>
      </c>
      <c r="G48" s="43" t="str">
        <f aca="false">IF((COUNTIFS('Control Library'!$A$5:$A$50,"AI-CTRL-031",'Control Library'!$R$5:$R$50,"Implemented")+COUNTIFS('Control Library'!$A$5:$A$50,"AI-CTRL-034",'Control Library'!$R$5:$R$50,"Implemented")+COUNTIFS('Control Library'!$A$5:$A$50,"AI-CTRL-033",'Control Library'!$R$5:$R$50,"Implemented"))=3,"Fully covered",IF((COUNTIFS('Control Library'!$A$5:$A$50,"AI-CTRL-031",'Control Library'!$R$5:$R$50,"Implemented")+COUNTIFS('Control Library'!$A$5:$A$50,"AI-CTRL-034",'Control Library'!$R$5:$R$50,"Implemented")+COUNTIFS('Control Library'!$A$5:$A$50,"AI-CTRL-033",'Control Library'!$R$5:$R$50,"Implemented"))=0,"Not covered","Partly covered"))</f>
        <v>Not covered</v>
      </c>
    </row>
    <row r="49" customFormat="false" ht="35.05" hidden="false" customHeight="false" outlineLevel="0" collapsed="false">
      <c r="A49" s="36" t="s">
        <v>3852</v>
      </c>
      <c r="B49" s="6" t="s">
        <v>3853</v>
      </c>
      <c r="C49" s="6" t="s">
        <v>3854</v>
      </c>
      <c r="D49" s="6" t="s">
        <v>3855</v>
      </c>
      <c r="E49" s="6" t="s">
        <v>3856</v>
      </c>
      <c r="F49" s="26" t="str">
        <f aca="false">(COUNTIFS('Control Library'!$A$5:$A$50,"AI-CTRL-015",'Control Library'!$R$5:$R$50,"Implemented")+COUNTIFS('Control Library'!$A$5:$A$50,"AI-CTRL-008",'Control Library'!$R$5:$R$50,"Implemented")+COUNTIFS('Control Library'!$A$5:$A$50,"AI-CTRL-009",'Control Library'!$R$5:$R$50,"Implemented"))&amp;" of 3"</f>
        <v>0 of 3</v>
      </c>
      <c r="G49" s="43" t="str">
        <f aca="false">IF((COUNTIFS('Control Library'!$A$5:$A$50,"AI-CTRL-015",'Control Library'!$R$5:$R$50,"Implemented")+COUNTIFS('Control Library'!$A$5:$A$50,"AI-CTRL-008",'Control Library'!$R$5:$R$50,"Implemented")+COUNTIFS('Control Library'!$A$5:$A$50,"AI-CTRL-009",'Control Library'!$R$5:$R$50,"Implemented"))=3,"Fully covered",IF((COUNTIFS('Control Library'!$A$5:$A$50,"AI-CTRL-015",'Control Library'!$R$5:$R$50,"Implemented")+COUNTIFS('Control Library'!$A$5:$A$50,"AI-CTRL-008",'Control Library'!$R$5:$R$50,"Implemented")+COUNTIFS('Control Library'!$A$5:$A$50,"AI-CTRL-009",'Control Library'!$R$5:$R$50,"Implemented"))=0,"Not covered","Partly covered"))</f>
        <v>Not covered</v>
      </c>
    </row>
    <row r="50" customFormat="false" ht="35.05" hidden="false" customHeight="false" outlineLevel="0" collapsed="false">
      <c r="A50" s="36" t="s">
        <v>3857</v>
      </c>
      <c r="B50" s="76" t="s">
        <v>3858</v>
      </c>
      <c r="C50" s="76" t="s">
        <v>3859</v>
      </c>
      <c r="D50" s="76" t="s">
        <v>3860</v>
      </c>
      <c r="E50" s="76" t="s">
        <v>3861</v>
      </c>
      <c r="F50" s="26" t="str">
        <f aca="false">(COUNTIFS('Control Library'!$A$5:$A$50,"AI-CTRL-015",'Control Library'!$R$5:$R$50,"Implemented")+COUNTIFS('Control Library'!$A$5:$A$50,"AI-CTRL-016",'Control Library'!$R$5:$R$50,"Implemented")+COUNTIFS('Control Library'!$A$5:$A$50,"AI-CTRL-006",'Control Library'!$R$5:$R$50,"Implemented"))&amp;" of 3"</f>
        <v>0 of 3</v>
      </c>
      <c r="G50" s="43" t="str">
        <f aca="false">IF((COUNTIFS('Control Library'!$A$5:$A$50,"AI-CTRL-015",'Control Library'!$R$5:$R$50,"Implemented")+COUNTIFS('Control Library'!$A$5:$A$50,"AI-CTRL-016",'Control Library'!$R$5:$R$50,"Implemented")+COUNTIFS('Control Library'!$A$5:$A$50,"AI-CTRL-006",'Control Library'!$R$5:$R$50,"Implemented"))=3,"Fully covered",IF((COUNTIFS('Control Library'!$A$5:$A$50,"AI-CTRL-015",'Control Library'!$R$5:$R$50,"Implemented")+COUNTIFS('Control Library'!$A$5:$A$50,"AI-CTRL-016",'Control Library'!$R$5:$R$50,"Implemented")+COUNTIFS('Control Library'!$A$5:$A$50,"AI-CTRL-006",'Control Library'!$R$5:$R$50,"Implemented"))=0,"Not covered","Partly covered"))</f>
        <v>Not covered</v>
      </c>
    </row>
    <row r="51" customFormat="false" ht="35.05" hidden="false" customHeight="false" outlineLevel="0" collapsed="false">
      <c r="A51" s="36" t="s">
        <v>3862</v>
      </c>
      <c r="B51" s="6" t="s">
        <v>3863</v>
      </c>
      <c r="C51" s="6" t="s">
        <v>3864</v>
      </c>
      <c r="D51" s="6" t="s">
        <v>3865</v>
      </c>
      <c r="E51" s="6" t="s">
        <v>3866</v>
      </c>
      <c r="F51" s="26" t="str">
        <f aca="false">(COUNTIFS('Control Library'!$A$5:$A$50,"AI-CTRL-028",'Control Library'!$R$5:$R$50,"Implemented")+COUNTIFS('Control Library'!$A$5:$A$50,"AI-CTRL-036",'Control Library'!$R$5:$R$50,"Implemented")+COUNTIFS('Control Library'!$A$5:$A$50,"AI-CTRL-009",'Control Library'!$R$5:$R$50,"Implemented")+COUNTIFS('Control Library'!$A$5:$A$50,"AI-CTRL-034",'Control Library'!$R$5:$R$50,"Implemented"))&amp;" of 4"</f>
        <v>0 of 4</v>
      </c>
      <c r="G51" s="43" t="str">
        <f aca="false">IF((COUNTIFS('Control Library'!$A$5:$A$50,"AI-CTRL-028",'Control Library'!$R$5:$R$50,"Implemented")+COUNTIFS('Control Library'!$A$5:$A$50,"AI-CTRL-036",'Control Library'!$R$5:$R$50,"Implemented")+COUNTIFS('Control Library'!$A$5:$A$50,"AI-CTRL-009",'Control Library'!$R$5:$R$50,"Implemented")+COUNTIFS('Control Library'!$A$5:$A$50,"AI-CTRL-034",'Control Library'!$R$5:$R$50,"Implemented"))=4,"Fully covered",IF((COUNTIFS('Control Library'!$A$5:$A$50,"AI-CTRL-028",'Control Library'!$R$5:$R$50,"Implemented")+COUNTIFS('Control Library'!$A$5:$A$50,"AI-CTRL-036",'Control Library'!$R$5:$R$50,"Implemented")+COUNTIFS('Control Library'!$A$5:$A$50,"AI-CTRL-009",'Control Library'!$R$5:$R$50,"Implemented")+COUNTIFS('Control Library'!$A$5:$A$50,"AI-CTRL-034",'Control Library'!$R$5:$R$50,"Implemented"))=0,"Not covered","Partly covered"))</f>
        <v>Not covered</v>
      </c>
    </row>
    <row r="52" customFormat="false" ht="35.05" hidden="false" customHeight="false" outlineLevel="0" collapsed="false">
      <c r="A52" s="36" t="s">
        <v>3867</v>
      </c>
      <c r="B52" s="76" t="s">
        <v>3868</v>
      </c>
      <c r="C52" s="76" t="s">
        <v>3869</v>
      </c>
      <c r="D52" s="76" t="s">
        <v>3870</v>
      </c>
      <c r="E52" s="76" t="s">
        <v>3871</v>
      </c>
      <c r="F52" s="26" t="str">
        <f aca="false">(COUNTIFS('Control Library'!$A$5:$A$50,"AI-CTRL-035",'Control Library'!$R$5:$R$50,"Implemented")+COUNTIFS('Control Library'!$A$5:$A$50,"AI-CTRL-009",'Control Library'!$R$5:$R$50,"Implemented")+COUNTIFS('Control Library'!$A$5:$A$50,"AI-CTRL-043",'Control Library'!$R$5:$R$50,"Implemented")+COUNTIFS('Control Library'!$A$5:$A$50,"AI-CTRL-008",'Control Library'!$R$5:$R$50,"Implemented"))&amp;" of 4"</f>
        <v>0 of 4</v>
      </c>
      <c r="G52" s="43" t="str">
        <f aca="false">IF((COUNTIFS('Control Library'!$A$5:$A$50,"AI-CTRL-035",'Control Library'!$R$5:$R$50,"Implemented")+COUNTIFS('Control Library'!$A$5:$A$50,"AI-CTRL-009",'Control Library'!$R$5:$R$50,"Implemented")+COUNTIFS('Control Library'!$A$5:$A$50,"AI-CTRL-043",'Control Library'!$R$5:$R$50,"Implemented")+COUNTIFS('Control Library'!$A$5:$A$50,"AI-CTRL-008",'Control Library'!$R$5:$R$50,"Implemented"))=4,"Fully covered",IF((COUNTIFS('Control Library'!$A$5:$A$50,"AI-CTRL-035",'Control Library'!$R$5:$R$50,"Implemented")+COUNTIFS('Control Library'!$A$5:$A$50,"AI-CTRL-009",'Control Library'!$R$5:$R$50,"Implemented")+COUNTIFS('Control Library'!$A$5:$A$50,"AI-CTRL-043",'Control Library'!$R$5:$R$50,"Implemented")+COUNTIFS('Control Library'!$A$5:$A$50,"AI-CTRL-008",'Control Library'!$R$5:$R$50,"Implemented"))=0,"Not covered","Partly covered"))</f>
        <v>Not covered</v>
      </c>
    </row>
    <row r="53" customFormat="false" ht="46.25" hidden="false" customHeight="false" outlineLevel="0" collapsed="false">
      <c r="A53" s="36" t="s">
        <v>3872</v>
      </c>
      <c r="B53" s="6" t="s">
        <v>3873</v>
      </c>
      <c r="C53" s="6" t="s">
        <v>3874</v>
      </c>
      <c r="D53" s="6" t="s">
        <v>3875</v>
      </c>
      <c r="E53" s="6" t="s">
        <v>3876</v>
      </c>
      <c r="F53" s="26" t="str">
        <f aca="false">(COUNTIFS('Control Library'!$A$5:$A$50,"AI-CTRL-013",'Control Library'!$R$5:$R$50,"Implemented")+COUNTIFS('Control Library'!$A$5:$A$50,"AI-CTRL-017",'Control Library'!$R$5:$R$50,"Implemented")+COUNTIFS('Control Library'!$A$5:$A$50,"AI-CTRL-029",'Control Library'!$R$5:$R$50,"Implemented")+COUNTIFS('Control Library'!$A$5:$A$50,"AI-CTRL-042",'Control Library'!$R$5:$R$50,"Implemented"))&amp;" of 4"</f>
        <v>0 of 4</v>
      </c>
      <c r="G53" s="43" t="str">
        <f aca="false">IF((COUNTIFS('Control Library'!$A$5:$A$50,"AI-CTRL-013",'Control Library'!$R$5:$R$50,"Implemented")+COUNTIFS('Control Library'!$A$5:$A$50,"AI-CTRL-017",'Control Library'!$R$5:$R$50,"Implemented")+COUNTIFS('Control Library'!$A$5:$A$50,"AI-CTRL-029",'Control Library'!$R$5:$R$50,"Implemented")+COUNTIFS('Control Library'!$A$5:$A$50,"AI-CTRL-042",'Control Library'!$R$5:$R$50,"Implemented"))=4,"Fully covered",IF((COUNTIFS('Control Library'!$A$5:$A$50,"AI-CTRL-013",'Control Library'!$R$5:$R$50,"Implemented")+COUNTIFS('Control Library'!$A$5:$A$50,"AI-CTRL-017",'Control Library'!$R$5:$R$50,"Implemented")+COUNTIFS('Control Library'!$A$5:$A$50,"AI-CTRL-029",'Control Library'!$R$5:$R$50,"Implemented")+COUNTIFS('Control Library'!$A$5:$A$50,"AI-CTRL-042",'Control Library'!$R$5:$R$50,"Implemented"))=0,"Not covered","Partly covered"))</f>
        <v>Not covered</v>
      </c>
    </row>
    <row r="54" customFormat="false" ht="35.05" hidden="false" customHeight="false" outlineLevel="0" collapsed="false">
      <c r="A54" s="36" t="s">
        <v>3877</v>
      </c>
      <c r="B54" s="76" t="s">
        <v>3878</v>
      </c>
      <c r="C54" s="76" t="s">
        <v>3879</v>
      </c>
      <c r="D54" s="76" t="s">
        <v>3880</v>
      </c>
      <c r="E54" s="76" t="s">
        <v>3881</v>
      </c>
      <c r="F54" s="26" t="str">
        <f aca="false">(COUNTIFS('Control Library'!$A$5:$A$50,"AI-CTRL-030",'Control Library'!$R$5:$R$50,"Implemented")+COUNTIFS('Control Library'!$A$5:$A$50,"AI-CTRL-034",'Control Library'!$R$5:$R$50,"Implemented")+COUNTIFS('Control Library'!$A$5:$A$50,"AI-CTRL-008",'Control Library'!$R$5:$R$50,"Implemented")+COUNTIFS('Control Library'!$A$5:$A$50,"AI-CTRL-033",'Control Library'!$R$5:$R$50,"Implemented"))&amp;" of 4"</f>
        <v>0 of 4</v>
      </c>
      <c r="G54" s="43" t="str">
        <f aca="false">IF((COUNTIFS('Control Library'!$A$5:$A$50,"AI-CTRL-030",'Control Library'!$R$5:$R$50,"Implemented")+COUNTIFS('Control Library'!$A$5:$A$50,"AI-CTRL-034",'Control Library'!$R$5:$R$50,"Implemented")+COUNTIFS('Control Library'!$A$5:$A$50,"AI-CTRL-008",'Control Library'!$R$5:$R$50,"Implemented")+COUNTIFS('Control Library'!$A$5:$A$50,"AI-CTRL-033",'Control Library'!$R$5:$R$50,"Implemented"))=4,"Fully covered",IF((COUNTIFS('Control Library'!$A$5:$A$50,"AI-CTRL-030",'Control Library'!$R$5:$R$50,"Implemented")+COUNTIFS('Control Library'!$A$5:$A$50,"AI-CTRL-034",'Control Library'!$R$5:$R$50,"Implemented")+COUNTIFS('Control Library'!$A$5:$A$50,"AI-CTRL-008",'Control Library'!$R$5:$R$50,"Implemented")+COUNTIFS('Control Library'!$A$5:$A$50,"AI-CTRL-033",'Control Library'!$R$5:$R$50,"Implemented"))=0,"Not covered","Partly covered"))</f>
        <v>Not covered</v>
      </c>
    </row>
    <row r="55" customFormat="false" ht="35.05" hidden="false" customHeight="false" outlineLevel="0" collapsed="false">
      <c r="A55" s="36" t="s">
        <v>3882</v>
      </c>
      <c r="B55" s="6" t="s">
        <v>3883</v>
      </c>
      <c r="C55" s="6" t="s">
        <v>3884</v>
      </c>
      <c r="D55" s="6" t="s">
        <v>3885</v>
      </c>
      <c r="E55" s="6" t="s">
        <v>3886</v>
      </c>
      <c r="F55" s="26" t="str">
        <f aca="false">(COUNTIFS('Control Library'!$A$5:$A$50,"AI-CTRL-042",'Control Library'!$R$5:$R$50,"Implemented")+COUNTIFS('Control Library'!$A$5:$A$50,"AI-CTRL-045",'Control Library'!$R$5:$R$50,"Implemented")+COUNTIFS('Control Library'!$A$5:$A$50,"AI-CTRL-014",'Control Library'!$R$5:$R$50,"Implemented")+COUNTIFS('Control Library'!$A$5:$A$50,"AI-CTRL-037",'Control Library'!$R$5:$R$50,"Implemented"))&amp;" of 4"</f>
        <v>0 of 4</v>
      </c>
      <c r="G55" s="43" t="str">
        <f aca="false">IF((COUNTIFS('Control Library'!$A$5:$A$50,"AI-CTRL-042",'Control Library'!$R$5:$R$50,"Implemented")+COUNTIFS('Control Library'!$A$5:$A$50,"AI-CTRL-045",'Control Library'!$R$5:$R$50,"Implemented")+COUNTIFS('Control Library'!$A$5:$A$50,"AI-CTRL-014",'Control Library'!$R$5:$R$50,"Implemented")+COUNTIFS('Control Library'!$A$5:$A$50,"AI-CTRL-037",'Control Library'!$R$5:$R$50,"Implemented"))=4,"Fully covered",IF((COUNTIFS('Control Library'!$A$5:$A$50,"AI-CTRL-042",'Control Library'!$R$5:$R$50,"Implemented")+COUNTIFS('Control Library'!$A$5:$A$50,"AI-CTRL-045",'Control Library'!$R$5:$R$50,"Implemented")+COUNTIFS('Control Library'!$A$5:$A$50,"AI-CTRL-014",'Control Library'!$R$5:$R$50,"Implemented")+COUNTIFS('Control Library'!$A$5:$A$50,"AI-CTRL-037",'Control Library'!$R$5:$R$50,"Implemented"))=0,"Not covered","Partly covered"))</f>
        <v>Not covered</v>
      </c>
    </row>
    <row r="56" customFormat="false" ht="35.05" hidden="false" customHeight="false" outlineLevel="0" collapsed="false">
      <c r="A56" s="36" t="s">
        <v>3887</v>
      </c>
      <c r="B56" s="76" t="s">
        <v>3888</v>
      </c>
      <c r="C56" s="76" t="s">
        <v>3889</v>
      </c>
      <c r="D56" s="76" t="s">
        <v>3890</v>
      </c>
      <c r="E56" s="76" t="s">
        <v>3891</v>
      </c>
      <c r="F56" s="26" t="str">
        <f aca="false">(COUNTIFS('Control Library'!$A$5:$A$50,"AI-CTRL-031",'Control Library'!$R$5:$R$50,"Implemented")+COUNTIFS('Control Library'!$A$5:$A$50,"AI-CTRL-033",'Control Library'!$R$5:$R$50,"Implemented")+COUNTIFS('Control Library'!$A$5:$A$50,"AI-CTRL-030",'Control Library'!$R$5:$R$50,"Implemented"))&amp;" of 3"</f>
        <v>0 of 3</v>
      </c>
      <c r="G56" s="43" t="str">
        <f aca="false">IF((COUNTIFS('Control Library'!$A$5:$A$50,"AI-CTRL-031",'Control Library'!$R$5:$R$50,"Implemented")+COUNTIFS('Control Library'!$A$5:$A$50,"AI-CTRL-033",'Control Library'!$R$5:$R$50,"Implemented")+COUNTIFS('Control Library'!$A$5:$A$50,"AI-CTRL-030",'Control Library'!$R$5:$R$50,"Implemented"))=3,"Fully covered",IF((COUNTIFS('Control Library'!$A$5:$A$50,"AI-CTRL-031",'Control Library'!$R$5:$R$50,"Implemented")+COUNTIFS('Control Library'!$A$5:$A$50,"AI-CTRL-033",'Control Library'!$R$5:$R$50,"Implemented")+COUNTIFS('Control Library'!$A$5:$A$50,"AI-CTRL-030",'Control Library'!$R$5:$R$50,"Implemented"))=0,"Not covered","Partly covered"))</f>
        <v>Not covered</v>
      </c>
    </row>
    <row r="57" customFormat="false" ht="35.05" hidden="false" customHeight="false" outlineLevel="0" collapsed="false">
      <c r="A57" s="36" t="s">
        <v>3892</v>
      </c>
      <c r="B57" s="6" t="s">
        <v>3893</v>
      </c>
      <c r="C57" s="6" t="s">
        <v>3894</v>
      </c>
      <c r="D57" s="6" t="s">
        <v>3895</v>
      </c>
      <c r="E57" s="6" t="s">
        <v>3896</v>
      </c>
      <c r="F57" s="26" t="str">
        <f aca="false">(COUNTIFS('Control Library'!$A$5:$A$50,"AI-CTRL-039",'Control Library'!$R$5:$R$50,"Implemented")+COUNTIFS('Control Library'!$A$5:$A$50,"AI-CTRL-020",'Control Library'!$R$5:$R$50,"Implemented")+COUNTIFS('Control Library'!$A$5:$A$50,"AI-CTRL-013",'Control Library'!$R$5:$R$50,"Implemented"))&amp;" of 3"</f>
        <v>0 of 3</v>
      </c>
      <c r="G57" s="43" t="str">
        <f aca="false">IF((COUNTIFS('Control Library'!$A$5:$A$50,"AI-CTRL-039",'Control Library'!$R$5:$R$50,"Implemented")+COUNTIFS('Control Library'!$A$5:$A$50,"AI-CTRL-020",'Control Library'!$R$5:$R$50,"Implemented")+COUNTIFS('Control Library'!$A$5:$A$50,"AI-CTRL-013",'Control Library'!$R$5:$R$50,"Implemented"))=3,"Fully covered",IF((COUNTIFS('Control Library'!$A$5:$A$50,"AI-CTRL-039",'Control Library'!$R$5:$R$50,"Implemented")+COUNTIFS('Control Library'!$A$5:$A$50,"AI-CTRL-020",'Control Library'!$R$5:$R$50,"Implemented")+COUNTIFS('Control Library'!$A$5:$A$50,"AI-CTRL-013",'Control Library'!$R$5:$R$50,"Implemented"))=0,"Not covered","Partly covered"))</f>
        <v>Not covered</v>
      </c>
    </row>
    <row r="58" customFormat="false" ht="46.25" hidden="false" customHeight="false" outlineLevel="0" collapsed="false">
      <c r="A58" s="36" t="s">
        <v>3897</v>
      </c>
      <c r="B58" s="76" t="s">
        <v>3898</v>
      </c>
      <c r="C58" s="76" t="s">
        <v>3899</v>
      </c>
      <c r="D58" s="76" t="s">
        <v>3900</v>
      </c>
      <c r="E58" s="76" t="s">
        <v>3901</v>
      </c>
      <c r="F58" s="26" t="str">
        <f aca="false">(COUNTIFS('Control Library'!$A$5:$A$50,"AI-CTRL-015",'Control Library'!$R$5:$R$50,"Implemented")+COUNTIFS('Control Library'!$A$5:$A$50,"AI-CTRL-008",'Control Library'!$R$5:$R$50,"Implemented")+COUNTIFS('Control Library'!$A$5:$A$50,"AI-CTRL-006",'Control Library'!$R$5:$R$50,"Implemented"))&amp;" of 3"</f>
        <v>0 of 3</v>
      </c>
      <c r="G58" s="43" t="str">
        <f aca="false">IF((COUNTIFS('Control Library'!$A$5:$A$50,"AI-CTRL-015",'Control Library'!$R$5:$R$50,"Implemented")+COUNTIFS('Control Library'!$A$5:$A$50,"AI-CTRL-008",'Control Library'!$R$5:$R$50,"Implemented")+COUNTIFS('Control Library'!$A$5:$A$50,"AI-CTRL-006",'Control Library'!$R$5:$R$50,"Implemented"))=3,"Fully covered",IF((COUNTIFS('Control Library'!$A$5:$A$50,"AI-CTRL-015",'Control Library'!$R$5:$R$50,"Implemented")+COUNTIFS('Control Library'!$A$5:$A$50,"AI-CTRL-008",'Control Library'!$R$5:$R$50,"Implemented")+COUNTIFS('Control Library'!$A$5:$A$50,"AI-CTRL-006",'Control Library'!$R$5:$R$50,"Implemented"))=0,"Not covered","Partly covered"))</f>
        <v>Not covered</v>
      </c>
    </row>
    <row r="59" customFormat="false" ht="46.25" hidden="false" customHeight="false" outlineLevel="0" collapsed="false">
      <c r="A59" s="36" t="s">
        <v>2367</v>
      </c>
      <c r="B59" s="6" t="s">
        <v>3902</v>
      </c>
      <c r="C59" s="6" t="s">
        <v>3903</v>
      </c>
      <c r="D59" s="6" t="s">
        <v>3904</v>
      </c>
      <c r="E59" s="6" t="s">
        <v>3905</v>
      </c>
      <c r="F59" s="26" t="str">
        <f aca="false">(COUNTIFS('Control Library'!$A$5:$A$50,"AI-CTRL-037",'Control Library'!$R$5:$R$50,"Implemented")+COUNTIFS('Control Library'!$A$5:$A$50,"AI-CTRL-027",'Control Library'!$R$5:$R$50,"Implemented")+COUNTIFS('Control Library'!$A$5:$A$50,"AI-CTRL-033",'Control Library'!$R$5:$R$50,"Implemented")+COUNTIFS('Control Library'!$A$5:$A$50,"AI-CTRL-025",'Control Library'!$R$5:$R$50,"Implemented"))&amp;" of 4"</f>
        <v>0 of 4</v>
      </c>
      <c r="G59" s="43" t="str">
        <f aca="false">IF((COUNTIFS('Control Library'!$A$5:$A$50,"AI-CTRL-037",'Control Library'!$R$5:$R$50,"Implemented")+COUNTIFS('Control Library'!$A$5:$A$50,"AI-CTRL-027",'Control Library'!$R$5:$R$50,"Implemented")+COUNTIFS('Control Library'!$A$5:$A$50,"AI-CTRL-033",'Control Library'!$R$5:$R$50,"Implemented")+COUNTIFS('Control Library'!$A$5:$A$50,"AI-CTRL-025",'Control Library'!$R$5:$R$50,"Implemented"))=4,"Fully covered",IF((COUNTIFS('Control Library'!$A$5:$A$50,"AI-CTRL-037",'Control Library'!$R$5:$R$50,"Implemented")+COUNTIFS('Control Library'!$A$5:$A$50,"AI-CTRL-027",'Control Library'!$R$5:$R$50,"Implemented")+COUNTIFS('Control Library'!$A$5:$A$50,"AI-CTRL-033",'Control Library'!$R$5:$R$50,"Implemented")+COUNTIFS('Control Library'!$A$5:$A$50,"AI-CTRL-025",'Control Library'!$R$5:$R$50,"Implemented"))=0,"Not covered","Partly covered"))</f>
        <v>Not covered</v>
      </c>
    </row>
  </sheetData>
  <conditionalFormatting sqref="G5:G59">
    <cfRule type="cellIs" priority="2" operator="equal" aboveAverage="0" equalAverage="0" bottom="0" percent="0" rank="0" text="" dxfId="20">
      <formula>"Fully covered"</formula>
    </cfRule>
    <cfRule type="cellIs" priority="3" operator="equal" aboveAverage="0" equalAverage="0" bottom="0" percent="0" rank="0" text="" dxfId="21">
      <formula>"Partly covered"</formula>
    </cfRule>
    <cfRule type="cellIs" priority="4" operator="equal" aboveAverage="0" equalAverage="0" bottom="0" percent="0" rank="0" text="" dxfId="22">
      <formula>"Not covered"</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3"/>
    <col collapsed="false" customWidth="true" hidden="false" outlineLevel="0" max="2" min="2" style="0" width="14"/>
    <col collapsed="false" customWidth="true" hidden="false" outlineLevel="0" max="3" min="3" style="0" width="21"/>
  </cols>
  <sheetData>
    <row r="1" customFormat="false" ht="15" hidden="false" customHeight="false" outlineLevel="0" collapsed="false">
      <c r="A1" s="77" t="s">
        <v>3906</v>
      </c>
      <c r="B1" s="77" t="s">
        <v>3907</v>
      </c>
      <c r="C1" s="77" t="s">
        <v>3908</v>
      </c>
    </row>
    <row r="2" customFormat="false" ht="15" hidden="false" customHeight="false" outlineLevel="0" collapsed="false">
      <c r="A2" s="0" t="s">
        <v>103</v>
      </c>
      <c r="B2" s="0" t="s">
        <v>171</v>
      </c>
      <c r="C2" s="0" t="s">
        <v>3909</v>
      </c>
    </row>
    <row r="3" customFormat="false" ht="15" hidden="false" customHeight="false" outlineLevel="0" collapsed="false">
      <c r="A3" s="0" t="s">
        <v>104</v>
      </c>
      <c r="B3" s="0" t="s">
        <v>3910</v>
      </c>
      <c r="C3" s="0" t="s">
        <v>3911</v>
      </c>
    </row>
    <row r="4" customFormat="false" ht="15" hidden="false" customHeight="false" outlineLevel="0" collapsed="false">
      <c r="A4" s="0" t="s">
        <v>105</v>
      </c>
      <c r="C4" s="0" t="s">
        <v>3912</v>
      </c>
    </row>
    <row r="5" customFormat="false" ht="15" hidden="false" customHeight="false" outlineLevel="0" collapsed="false">
      <c r="A5" s="0" t="s">
        <v>106</v>
      </c>
      <c r="C5" s="0" t="s">
        <v>3913</v>
      </c>
    </row>
    <row r="6" customFormat="false" ht="15" hidden="false" customHeight="false" outlineLevel="0" collapsed="false">
      <c r="A6" s="0" t="s">
        <v>107</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Company>AI Security Wiki (Nachiket Sathaye and Ankush Jain)</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Control management</cp:category>
  <dcterms:created xsi:type="dcterms:W3CDTF">2026-10-29T19:28:34Z</dcterms:created>
  <dc:creator>Nachiket Sathaye; Ankush Jain</dc:creator>
  <dc:description>Copyright (c) 2026 Nachiket Sathaye and Ankush Jain. Licensed under CC BY-SA 4.0: https://creativecommons.org/licenses/by-sa/4.0/. Source: https://nachi065.github.io/AI-Security-Wiki/</dc:description>
  <cp:keywords>AI security controls framework crosswalk ISO/IEC 42001 NIST AI RMF CC BY-SA 4.0</cp:keywords>
  <dc:language>en-US</dc:language>
  <cp:lastModifiedBy>Nachiket Sathaye</cp:lastModifiedBy>
  <dcterms:modified xsi:type="dcterms:W3CDTF">2026-10-29T19:28:35Z</dcterms:modified>
  <cp:revision>0</cp:revision>
  <dc:subject>AI security control library with framework crosswalks built from the AI Security Wiki</dc:subject>
  <dc:title>AI Security Control Library and Crosswalks</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Copyright (c) 2026 Nachiket Sathaye and Ankush Jain</vt:lpwstr>
  </property>
  <property fmtid="{D5CDD505-2E9C-101B-9397-08002B2CF9AE}" pid="3" name="License">
    <vt:lpwstr>CC BY-SA 4.0</vt:lpwstr>
  </property>
  <property fmtid="{D5CDD505-2E9C-101B-9397-08002B2CF9AE}" pid="4" name="License URL">
    <vt:lpwstr>https://creativecommons.org/licenses/by-sa/4.0/</vt:lpwstr>
  </property>
  <property fmtid="{D5CDD505-2E9C-101B-9397-08002B2CF9AE}" pid="5" name="Source">
    <vt:lpwstr>https://nachi065.github.io/AI-Security-Wiki/</vt:lpwstr>
  </property>
</Properties>
</file>