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README" sheetId="1" state="visible" r:id="rId3"/>
    <sheet name="License" sheetId="2" state="visible" r:id="rId4"/>
    <sheet name="Dashboard" sheetId="3" state="visible" r:id="rId5"/>
    <sheet name="Baseline" sheetId="4" state="visible" r:id="rId6"/>
    <sheet name="UAE and Dubai Overlay" sheetId="5" state="visible" r:id="rId7"/>
    <sheet name="UAE and Dubai Mapping" sheetId="6" state="visible" r:id="rId8"/>
    <sheet name="Lists" sheetId="7" state="visible" r:id="rId9"/>
  </sheets>
  <definedNames>
    <definedName function="false" hidden="false" localSheetId="3" name="_xlnm.Print_Titles" vbProcedure="false">Baseline!$1:$5</definedName>
    <definedName function="false" hidden="true" localSheetId="3" name="_xlnm._FilterDatabase" vbProcedure="false">Baseline!$A$4:$U$170</definedName>
    <definedName function="false" hidden="true" localSheetId="5" name="_xlnm._FilterDatabase" vbProcedure="false">'UAE and Dubai Mapping'!$A$4:$F$169</definedName>
    <definedName function="false" hidden="false" localSheetId="4" name="_xlnm.Print_Titles" vbProcedure="false">'UAE and Dubai Overlay'!$1:$5</definedName>
    <definedName function="false" hidden="true" localSheetId="4" name="_xlnm._FilterDatabase" vbProcedure="false">'UAE and Dubai Overlay'!$A$4:$Y$19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<sst xmlns="http://schemas.openxmlformats.org/spreadsheetml/2006/main" count="4241" uniqueCount="1336">
  <si>
    <t xml:space="preserve">AI Security Assurance Baseline</t>
  </si>
  <si>
    <t xml:space="preserve">Built from the AI Security Wiki (https://nachi065.github.io/AI-Security-Wiki/) on 24 October 2026. Version 1.0.</t>
  </si>
  <si>
    <t xml:space="preserve">About</t>
  </si>
  <si>
    <t xml:space="preserve">What this is</t>
  </si>
  <si>
    <t xml:space="preserve">A pick-and-choose security requirements baseline for reviewing one AI, GenAI or agentic system, built in-house or bought. 165 requirements in 14 domains, each written to be testable with evidence and mapped to ISO/IEC 42001, NIST AI RMF, the EU AI Act and OWASP. An optional overlay adds 15 requirements for entities under UAE federal or Dubai Government rules.</t>
  </si>
  <si>
    <t xml:space="preserve">Authors</t>
  </si>
  <si>
    <t xml:space="preserve">Written by Nachiket Sathaye and Ankush Jain for AI security reviews, and made region-neutral for the AI Security Wiki in October 2026.</t>
  </si>
  <si>
    <t xml:space="preserve">Binding vs reference</t>
  </si>
  <si>
    <t xml:space="preserve">Which frameworks bind you depends on where you operate and what you do. ISO/IEC 42001 and NIST AI RMF are voluntary good practice. The EU AI Act binds providers and deployers in its scope; [EU market only] marks requirements that apply only there. Add your own jurisdiction's instruments as extra columns or an overlay sheet, as the UAE and Dubai overlay does.</t>
  </si>
  <si>
    <t xml:space="preserve">Related wiki template</t>
  </si>
  <si>
    <t xml:space="preserve">The AI Security Requirements Traceability Matrix template is generated from the wiki's 46 controls and traces every requirement to the wiki's risks, test cases and regional crosswalks. Use this baseline when you want a standalone, domain-organised requirement set; use the wiki matrix when you work from the wiki's controls.</t>
  </si>
  <si>
    <t xml:space="preserve">How to use</t>
  </si>
  <si>
    <t xml:space="preserve">1. Scope</t>
  </si>
  <si>
    <t xml:space="preserve">Filter the Baseline sheet by Stage (the assurance gate you are at), Mandatory, Deployment Applicability or a framework column, and set In Scope = N on rows that do not apply. Delete the overlay sheets if they do not apply to you.</t>
  </si>
  <si>
    <t xml:space="preserve">2. Issue</t>
  </si>
  <si>
    <t xml:space="preserve">Delete the worked example (row 5) and send the Baseline sheet to the vendor or system owner, who completes only the blue columns. Consider hiding the framework columns before issuing externally.</t>
  </si>
  <si>
    <t xml:space="preserve">3. Review</t>
  </si>
  <si>
    <t xml:space="preserve">Check each answer and its evidence. A "Yes" with no implementation detail counts as unanswered. Set Review Status and record the rationale, gap, compensating control, remediation owner and date in Comments.</t>
  </si>
  <si>
    <t xml:space="preserve">4. Report</t>
  </si>
  <si>
    <t xml:space="preserve">The Dashboard shows progress, the response profile, gaps on mandatory requirements, and breakdowns by stage, domain and framework.</t>
  </si>
  <si>
    <t xml:space="preserve">Columns</t>
  </si>
  <si>
    <t xml:space="preserve">Req ID</t>
  </si>
  <si>
    <t xml:space="preserve">Unique identifier, AI-&lt;DOMAIN&gt;-&lt;NNN&gt;. Stable: do not renumber between projects.</t>
  </si>
  <si>
    <t xml:space="preserve">Stage</t>
  </si>
  <si>
    <t xml:space="preserve">Assurance gate at which the requirement is tested: Discovery, Design, Implementation, Platform or Production Assessment.</t>
  </si>
  <si>
    <t xml:space="preserve">Mandatory</t>
  </si>
  <si>
    <t xml:space="preserve">Y = baseline, not waivable without formal risk acceptance. N = apply by judgement and risk tier. This reflects a general enterprise baseline, not a regulatory determination.</t>
  </si>
  <si>
    <t xml:space="preserve">Deployment Applicability</t>
  </si>
  <si>
    <t xml:space="preserve">The deployment models the requirement applies to.</t>
  </si>
  <si>
    <t xml:space="preserve">Vendor Response</t>
  </si>
  <si>
    <t xml:space="preserve">Yes, No, Partial or N/A, with Implementation Details, Evidence Type and Evidence Link.</t>
  </si>
  <si>
    <t xml:space="preserve">Review Status</t>
  </si>
  <si>
    <t xml:space="preserve">Pending, Accepted, Gap, Risk Accepted or Not Applicable.</t>
  </si>
  <si>
    <t xml:space="preserve">Caveats: read before first use</t>
  </si>
  <si>
    <t xml:space="preserve">Mapping fidelity</t>
  </si>
  <si>
    <t xml:space="preserve">Mappings show the primary alignment for each requirement, not an exhaustive cross-reference. Several framework references (for example NIST AI RMF MANAGE 2.2 and EU AI Act Art. 15(1)) recur across many rows. Validate against your own control library before using the baseline for compliance reporting.</t>
  </si>
  <si>
    <t xml:space="preserve">OWASP agentic column</t>
  </si>
  <si>
    <t xml:space="preserve">The agentic column uses the T1 to T15 codes of OWASP's "Agentic AI: Threats and Mitigations". OWASP has since published a Top 10 for Agentic Applications (ASI01 to ASI10), which the wiki's own controls use; the codes are not the same.</t>
  </si>
  <si>
    <t xml:space="preserve">Source versions</t>
  </si>
  <si>
    <t xml:space="preserve">ISO/IEC 42001:2023 Annex A; NIST AI RMF 1.0 (January 2023); Regulation (EU) 2024/1689; OWASP Top 10 for LLM Applications 2025; OWASP Agentic AI: Threats and Mitigations. Requirement text is the authors' own, not quoted from the standards.</t>
  </si>
  <si>
    <t xml:space="preserve">UAE and Dubai references</t>
  </si>
  <si>
    <t xml:space="preserve">The overlay's references are domain-level or thematic, not clause IDs. The UAE CSC AI policy column was mapped from the Cyber Security Council's published domain summary. DESC ISR sub-controls are distributed under controlled release, so only domains are cited, and published secondary descriptions of the ISR domains differ: check them against your licensed copy. The Dubai AI Security Policy tags (AISP) are grouping labels, not clause citations. The UAE PDPL excludes processing by government authorities (Art. 2): confirm with legal which law applies to you. None of these references has been checked against the primary text for the wiki.</t>
  </si>
  <si>
    <t xml:space="preserve">Colour legend</t>
  </si>
  <si>
    <t xml:space="preserve">White cells</t>
  </si>
  <si>
    <t xml:space="preserve">Requirement and mapping.</t>
  </si>
  <si>
    <t xml:space="preserve">Yellow cells</t>
  </si>
  <si>
    <t xml:space="preserve">Assessor: In Scope, Mandatory, Review Status, Comments.</t>
  </si>
  <si>
    <t xml:space="preserve">Blue cells</t>
  </si>
  <si>
    <t xml:space="preserve">Vendor or system owner.</t>
  </si>
  <si>
    <t xml:space="preserve">Grey cells</t>
  </si>
  <si>
    <t xml:space="preserve">Calculated, or the worked example.</t>
  </si>
  <si>
    <t xml:space="preserve">Sheets</t>
  </si>
  <si>
    <t xml:space="preserve">Dashboard</t>
  </si>
  <si>
    <t xml:space="preserve">Live counts.</t>
  </si>
  <si>
    <t xml:space="preserve">Baseline</t>
  </si>
  <si>
    <t xml:space="preserve">165 general requirements and one worked example.</t>
  </si>
  <si>
    <t xml:space="preserve">UAE and Dubai Overlay</t>
  </si>
  <si>
    <t xml:space="preserve">Optional: 15 UAE and Dubai requirements.</t>
  </si>
  <si>
    <t xml:space="preserve">UAE and Dubai Mapping</t>
  </si>
  <si>
    <t xml:space="preserve">Optional: UAE and Dubai references for the general requirements.</t>
  </si>
  <si>
    <t xml:space="preserve">Lists</t>
  </si>
  <si>
    <t xml:space="preserve">Dropdown values, including 13 evidence types.</t>
  </si>
  <si>
    <t xml:space="preserve">License</t>
  </si>
  <si>
    <t xml:space="preserve">Copyright, CC BY-SA 4.0 notice, credit, ShareAlike and disclaimer.</t>
  </si>
  <si>
    <t xml:space="preserve">AI Security Assurance Baseline Copyright (c) 2026 Nachiket Sathaye and Ankush Jain. Licensed under CC BY-SA 4.0 (https://creativecommons.org/licenses/by-sa/4.0/). See the License sheet for credit, ShareAlike and third-party terms.</t>
  </si>
  <si>
    <t xml:space="preserve">AI Security Assurance Baseline, version 1.0, 24 October 2026</t>
  </si>
  <si>
    <t xml:space="preserve">License notice</t>
  </si>
  <si>
    <t xml:space="preserve">Work</t>
  </si>
  <si>
    <t xml:space="preserve">Copyright</t>
  </si>
  <si>
    <t xml:space="preserve">Copyright (c) 2026 Nachiket Sathaye and Ankush Jain.</t>
  </si>
  <si>
    <t xml:space="preserve">This work, AI Security Assurance Baseline,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</si>
  <si>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</si>
  <si>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</si>
  <si>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</si>
  <si>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</si>
  <si>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</si>
  <si>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</si>
  <si>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</si>
  <si>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</si>
  <si>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</si>
  <si>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</si>
  <si>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Security Assurance Baseline" by Nachiket Sathaye and Ankush Jain, AI Security Wiki (https://nachi065.github.io/AI-Security-Wiki/), licensed under CC BY-SA 4.0 (https://creativecommons.org/licenses/by-sa/4.0/).</t>
  </si>
  <si>
    <t xml:space="preserve">If you change it</t>
  </si>
  <si>
    <t xml:space="preserve">Say that you changed it and keep earlier change notes, for example: "Adapted from AI Security Assurance Baseline by Nachiket Sathaye and Ankush Jain (https://nachi065.github.io/AI-Security-Wiki/), CC BY-SA 4.0. Changes: set scope, added our own responses, review results and regional overlay."</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</si>
  <si>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</si>
  <si>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</si>
  <si>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</si>
  <si>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</si>
  <si>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</si>
  <si>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</si>
  <si>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</si>
  <si>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</si>
  <si>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</si>
  <si>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</si>
  <si>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</si>
  <si>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</si>
  <si>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</si>
  <si>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</si>
  <si>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</si>
  <si>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</si>
  <si>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</si>
  <si>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Assessment Dashboard</t>
  </si>
  <si>
    <t xml:space="preserve">Live counts over the Baseline sheet (the worked example in row 5 is excluded) and the optional overlay.</t>
  </si>
  <si>
    <t xml:space="preserve">Measure</t>
  </si>
  <si>
    <t xml:space="preserve">Count</t>
  </si>
  <si>
    <t xml:space="preserve">Requirements in the baseline</t>
  </si>
  <si>
    <t xml:space="preserve">In scope</t>
  </si>
  <si>
    <t xml:space="preserve">In scope and mandatory</t>
  </si>
  <si>
    <t xml:space="preserve">Vendor responded</t>
  </si>
  <si>
    <t xml:space="preserve">Awaiting vendor response</t>
  </si>
  <si>
    <t xml:space="preserve">Answered Yes or Partial with no detail</t>
  </si>
  <si>
    <t xml:space="preserve">Review complete (not Pending)</t>
  </si>
  <si>
    <t xml:space="preserve">Share of in-scope reviews complete</t>
  </si>
  <si>
    <t xml:space="preserve">Open gaps on mandatory requirements</t>
  </si>
  <si>
    <t xml:space="preserve">Review status (in scope)</t>
  </si>
  <si>
    <t xml:space="preserve">Review status</t>
  </si>
  <si>
    <t xml:space="preserve">Share</t>
  </si>
  <si>
    <t xml:space="preserve">Pending</t>
  </si>
  <si>
    <t xml:space="preserve">Accepted</t>
  </si>
  <si>
    <t xml:space="preserve">Gap</t>
  </si>
  <si>
    <t xml:space="preserve">Risk Accepted</t>
  </si>
  <si>
    <t xml:space="preserve">Not Applicable</t>
  </si>
  <si>
    <t xml:space="preserve">Vendor response (in scope)</t>
  </si>
  <si>
    <t xml:space="preserve">Vendor response</t>
  </si>
  <si>
    <t xml:space="preserve">Yes</t>
  </si>
  <si>
    <t xml:space="preserve">No</t>
  </si>
  <si>
    <t xml:space="preserve">Partial</t>
  </si>
  <si>
    <t xml:space="preserve">N/A</t>
  </si>
  <si>
    <t xml:space="preserve">By assurance stage</t>
  </si>
  <si>
    <t xml:space="preserve">All rows</t>
  </si>
  <si>
    <t xml:space="preserve">Reviewed</t>
  </si>
  <si>
    <t xml:space="preserve">Discovery</t>
  </si>
  <si>
    <t xml:space="preserve">Design Assessment</t>
  </si>
  <si>
    <t xml:space="preserve">Implementation Assessment</t>
  </si>
  <si>
    <t xml:space="preserve">Platform Assessment</t>
  </si>
  <si>
    <t xml:space="preserve">Production Assessment</t>
  </si>
  <si>
    <t xml:space="preserve">By security domain</t>
  </si>
  <si>
    <t xml:space="preserve">Security Domain</t>
  </si>
  <si>
    <t xml:space="preserve">AI Governance &amp; Accountability</t>
  </si>
  <si>
    <t xml:space="preserve">AI Risk &amp; Impact Management</t>
  </si>
  <si>
    <t xml:space="preserve">Data Governance &amp; Privacy</t>
  </si>
  <si>
    <t xml:space="preserve">Model Lifecycle &amp; Development Security</t>
  </si>
  <si>
    <t xml:space="preserve">AI Supply Chain &amp; Third-Party Risk</t>
  </si>
  <si>
    <t xml:space="preserve">Prompt &amp; Inference Security</t>
  </si>
  <si>
    <t xml:space="preserve">Agentic AI &amp; Tool Use Security</t>
  </si>
  <si>
    <t xml:space="preserve">Identity, Access &amp; Secrets Management</t>
  </si>
  <si>
    <t xml:space="preserve">Platform &amp; Infrastructure Security</t>
  </si>
  <si>
    <t xml:space="preserve">Logging, Monitoring &amp; Detection</t>
  </si>
  <si>
    <t xml:space="preserve">Transparency, Explainability &amp; Human Oversight</t>
  </si>
  <si>
    <t xml:space="preserve">Incident Response &amp; Resilience</t>
  </si>
  <si>
    <t xml:space="preserve">Secure Operations &amp; Change Management</t>
  </si>
  <si>
    <t xml:space="preserve">Legal, Regulatory &amp; Compliance</t>
  </si>
  <si>
    <t xml:space="preserve">Framework coverage of the baseline</t>
  </si>
  <si>
    <t xml:space="preserve">Framework</t>
  </si>
  <si>
    <t xml:space="preserve">Mapped</t>
  </si>
  <si>
    <t xml:space="preserve">ISO/IEC 42001 Annex A</t>
  </si>
  <si>
    <t xml:space="preserve">NIST AI RMF</t>
  </si>
  <si>
    <t xml:space="preserve">EU AI Act</t>
  </si>
  <si>
    <t xml:space="preserve">OWASP LLM Top 10 (2025)</t>
  </si>
  <si>
    <t xml:space="preserve">OWASP Agentic AI Threats (T1-T15)</t>
  </si>
  <si>
    <t xml:space="preserve">UAE and Dubai overlay (optional)</t>
  </si>
  <si>
    <t xml:space="preserve">Overlay requirements in scope</t>
  </si>
  <si>
    <t xml:space="preserve">Overlay review complete (not Pending)</t>
  </si>
  <si>
    <t xml:space="preserve">Open overlay gaps</t>
  </si>
  <si>
    <t xml:space="preserve">Counts exclude framework cells marked "-". All rows counts every row; the other columns count only rows with In Scope = Y.</t>
  </si>
  <si>
    <t xml:space="preserve">One row per requirement. White: requirement and mapping. Yellow: assessor. Blue: vendor or system owner. Grey: calculated. Row 5 is a worked example: delete it before issuing.</t>
  </si>
  <si>
    <t xml:space="preserve">In Scope</t>
  </si>
  <si>
    <t xml:space="preserve">Requirement Category</t>
  </si>
  <si>
    <t xml:space="preserve">Security Requirement</t>
  </si>
  <si>
    <t xml:space="preserve">Implementation Details</t>
  </si>
  <si>
    <t xml:space="preserve">Evidence Type</t>
  </si>
  <si>
    <t xml:space="preserve">Evidence Required</t>
  </si>
  <si>
    <t xml:space="preserve">Evidence Link</t>
  </si>
  <si>
    <t xml:space="preserve">Comments</t>
  </si>
  <si>
    <t xml:space="preserve">Response Check</t>
  </si>
  <si>
    <t xml:space="preserve">AI-EXAMPLE</t>
  </si>
  <si>
    <t xml:space="preserve">Y</t>
  </si>
  <si>
    <t xml:space="preserve">(EXAMPLE ROW - DELETE BEFORE ISSUING)</t>
  </si>
  <si>
    <t xml:space="preserve">Worked Example</t>
  </si>
  <si>
    <t xml:space="preserve">Illustrative row showing the expected completion format for vendor and assessor columns.</t>
  </si>
  <si>
    <t xml:space="preserve">A.6.2.4</t>
  </si>
  <si>
    <t xml:space="preserve">MEASURE 2.7</t>
  </si>
  <si>
    <t xml:space="preserve">Art. 15(5)</t>
  </si>
  <si>
    <t xml:space="preserve">LLM01</t>
  </si>
  <si>
    <t xml:space="preserve">T6</t>
  </si>
  <si>
    <t xml:space="preserve">All</t>
  </si>
  <si>
    <t xml:space="preserve">Input classifier and instruction hierarchy deployed at the gateway; indirect injection defences for document ingestion are on the Q4 roadmap.</t>
  </si>
  <si>
    <t xml:space="preserve">Test Report</t>
  </si>
  <si>
    <t xml:space="preserve">Design description plus test results against a documented injection payload set.</t>
  </si>
  <si>
    <t xml:space="preserve">https://vendor.example.com/evidence/injection-test-report.pdf</t>
  </si>
  <si>
    <t xml:space="preserve">Direct injection controls accepted. Gap on indirect injection via ingested documents - remediation due 30-Nov-2026, owner: vendor security lead.</t>
  </si>
  <si>
    <t xml:space="preserve">AI-GOV-001</t>
  </si>
  <si>
    <t xml:space="preserve">AI Policy &amp; Standards</t>
  </si>
  <si>
    <t xml:space="preserve">A documented AI policy, approved by executive management, is in place covering acceptable use, prohibited use cases, risk appetite and the organisation's responsible-AI principles, and is referenced by this project.</t>
  </si>
  <si>
    <t xml:space="preserve">A.2.2, A.2.3</t>
  </si>
  <si>
    <t xml:space="preserve">GOVERN 1.1</t>
  </si>
  <si>
    <t xml:space="preserve">Art. 17</t>
  </si>
  <si>
    <t xml:space="preserve">-</t>
  </si>
  <si>
    <t xml:space="preserve">Policy/Procedure</t>
  </si>
  <si>
    <t xml:space="preserve">Approved AI policy with version, approval date and approver; evidence the project is in scope of it.</t>
  </si>
  <si>
    <t xml:space="preserve">AI-GOV-002</t>
  </si>
  <si>
    <t xml:space="preserve">Roles &amp; Accountability</t>
  </si>
  <si>
    <t xml:space="preserve">Accountability for the AI system is formally assigned (business owner, product owner, model owner, data owner, security owner) with a documented RACI covering the full lifecycle.</t>
  </si>
  <si>
    <t xml:space="preserve">A.3.2</t>
  </si>
  <si>
    <t xml:space="preserve">GOVERN 2.1, GOVERN 3.2</t>
  </si>
  <si>
    <t xml:space="preserve">Art. 17, Art. 22</t>
  </si>
  <si>
    <t xml:space="preserve">T3</t>
  </si>
  <si>
    <t xml:space="preserve">RACI matrix or governance charter naming individuals/roles for each accountability.</t>
  </si>
  <si>
    <t xml:space="preserve">AI-GOV-003</t>
  </si>
  <si>
    <t xml:space="preserve">AI Inventory</t>
  </si>
  <si>
    <t xml:space="preserve">The AI system is registered in the enterprise AI inventory with purpose, model(s) and versions, data classes processed, user population, integrations, autonomy level and assigned risk tier.</t>
  </si>
  <si>
    <t xml:space="preserve">A.6.2.2</t>
  </si>
  <si>
    <t xml:space="preserve">MAP 1.1, MAP 1.2</t>
  </si>
  <si>
    <t xml:space="preserve">Art. 49, Art. 72</t>
  </si>
  <si>
    <t xml:space="preserve">Register/Inventory</t>
  </si>
  <si>
    <t xml:space="preserve">AI inventory record ID and export of the completed inventory entry.</t>
  </si>
  <si>
    <t xml:space="preserve">AI-GOV-004</t>
  </si>
  <si>
    <t xml:space="preserve">Risk Classification</t>
  </si>
  <si>
    <t xml:space="preserve">The use case is classified against EU AI Act risk tiers (prohibited / high-risk / limited-risk / minimal-risk) and against the internal AI risk tiering model, with the classification rationale documented.</t>
  </si>
  <si>
    <t xml:space="preserve">A.5.2</t>
  </si>
  <si>
    <t xml:space="preserve">MAP 1.5</t>
  </si>
  <si>
    <t xml:space="preserve">Art. 6, Annex III</t>
  </si>
  <si>
    <t xml:space="preserve">Assessment Report</t>
  </si>
  <si>
    <t xml:space="preserve">Completed classification worksheet with rationale and sign-off by risk owner.</t>
  </si>
  <si>
    <t xml:space="preserve">AI-GOV-005</t>
  </si>
  <si>
    <t xml:space="preserve">Prohibited Practices</t>
  </si>
  <si>
    <t xml:space="preserve">Confirmation is documented that the system does not implement any prohibited AI practice (e.g. subliminal manipulation, exploitation of vulnerabilities, social scoring, untargeted facial-image scraping, emotion inference in workplace or education, biometric categorisation of protected attributes).</t>
  </si>
  <si>
    <t xml:space="preserve">A.9.4</t>
  </si>
  <si>
    <t xml:space="preserve">MAP 1.1</t>
  </si>
  <si>
    <t xml:space="preserve">Art. 5</t>
  </si>
  <si>
    <t xml:space="preserve">Signed prohibited-practice screening checklist.</t>
  </si>
  <si>
    <t xml:space="preserve">AI-GOV-006</t>
  </si>
  <si>
    <t xml:space="preserve">Management Review</t>
  </si>
  <si>
    <t xml:space="preserve">AI risks, performance and incidents for this system are reported into a defined governance forum on a documented cadence, with an escalation path to executive management.</t>
  </si>
  <si>
    <t xml:space="preserve">A.2.4, A.3.2</t>
  </si>
  <si>
    <t xml:space="preserve">GOVERN 1.2, GOVERN 2.3</t>
  </si>
  <si>
    <t xml:space="preserve">N</t>
  </si>
  <si>
    <t xml:space="preserve">Terms of reference for the forum plus minutes of at least one review covering this system.</t>
  </si>
  <si>
    <t xml:space="preserve">AI-GOV-007</t>
  </si>
  <si>
    <t xml:space="preserve">AI Literacy &amp; Training</t>
  </si>
  <si>
    <t xml:space="preserve">Personnel who develop, operate, approve or use the AI system have received role-appropriate AI literacy and AI risk training, with completion records retained.</t>
  </si>
  <si>
    <t xml:space="preserve">A.4.6</t>
  </si>
  <si>
    <t xml:space="preserve">GOVERN 2.2, GOVERN 3.2</t>
  </si>
  <si>
    <t xml:space="preserve">Art. 4</t>
  </si>
  <si>
    <t xml:space="preserve">Training curriculum and completion records for the named roles.</t>
  </si>
  <si>
    <t xml:space="preserve">AI-GOV-008</t>
  </si>
  <si>
    <t xml:space="preserve">Concern Raising</t>
  </si>
  <si>
    <t xml:space="preserve">A channel exists for staff and users to raise concerns about AI system behaviour or harm without retaliation, and concerns raised are triaged into the risk process.</t>
  </si>
  <si>
    <t xml:space="preserve">A.3.3</t>
  </si>
  <si>
    <t xml:space="preserve">GOVERN 4.1, GOVERN 5.1</t>
  </si>
  <si>
    <t xml:space="preserve">Description of the channel and evidence of triage workflow.</t>
  </si>
  <si>
    <t xml:space="preserve">AI-GOV-009</t>
  </si>
  <si>
    <t xml:space="preserve">Objectives &amp; Requirements</t>
  </si>
  <si>
    <t xml:space="preserve">Documented objectives for responsible development, and functional/non-functional security requirements for the AI system, are defined and traceable through design, build and test.</t>
  </si>
  <si>
    <t xml:space="preserve">A.6.1.2, A.6.2.2</t>
  </si>
  <si>
    <t xml:space="preserve">MAP 1.4, MAP 2.1</t>
  </si>
  <si>
    <t xml:space="preserve">Art. 9</t>
  </si>
  <si>
    <t xml:space="preserve">Design Document</t>
  </si>
  <si>
    <t xml:space="preserve">Requirements specification with traceability references to design and test artefacts.</t>
  </si>
  <si>
    <t xml:space="preserve">AI-GOV-010</t>
  </si>
  <si>
    <t xml:space="preserve">Lifecycle Gates</t>
  </si>
  <si>
    <t xml:space="preserve">Formal decision gates with named approvers are defined for each lifecycle stage, and no promotion to the next stage occurs without recorded approval.</t>
  </si>
  <si>
    <t xml:space="preserve">A.6.2.5</t>
  </si>
  <si>
    <t xml:space="preserve">GOVERN 1.5, MANAGE 1.4</t>
  </si>
  <si>
    <t xml:space="preserve">Stage-gate procedure and evidence of approvals recorded for gates already passed.</t>
  </si>
  <si>
    <t xml:space="preserve">AI-GOV-011</t>
  </si>
  <si>
    <t xml:space="preserve">Legal &amp; IP Review</t>
  </si>
  <si>
    <t xml:space="preserve">Legal review is completed covering intellectual property, model and dataset licensing, output ownership, and the provider's terms of service and acceptable use policy.</t>
  </si>
  <si>
    <t xml:space="preserve">A.10.3</t>
  </si>
  <si>
    <t xml:space="preserve">GOVERN 6.1</t>
  </si>
  <si>
    <t xml:space="preserve">Art. 25, Art. 53</t>
  </si>
  <si>
    <t xml:space="preserve">LLM03</t>
  </si>
  <si>
    <t xml:space="preserve">Contract/Legal</t>
  </si>
  <si>
    <t xml:space="preserve">Legal sign-off memo referencing the specific licence and ToS versions reviewed.</t>
  </si>
  <si>
    <t xml:space="preserve">AI-GOV-012</t>
  </si>
  <si>
    <t xml:space="preserve">Exit Strategy</t>
  </si>
  <si>
    <t xml:space="preserve">An exit and transition strategy is defined for the AI service, covering data extraction, prompt/configuration portability, model substitutability and orderly termination.</t>
  </si>
  <si>
    <t xml:space="preserve">MANAGE 3.1</t>
  </si>
  <si>
    <t xml:space="preserve">SaaS/AIaaS</t>
  </si>
  <si>
    <t xml:space="preserve">Documented exit plan including data export formats and transition timeline.</t>
  </si>
  <si>
    <t xml:space="preserve">AI-RSK-001</t>
  </si>
  <si>
    <t xml:space="preserve">AI Risk Management System</t>
  </si>
  <si>
    <t xml:space="preserve">A continuous AI risk management process is established and run for this system across the full lifecycle, covering identification, analysis, evaluation, treatment and review of foreseeable risks.</t>
  </si>
  <si>
    <t xml:space="preserve">A.5.2, A.6.1.3</t>
  </si>
  <si>
    <t xml:space="preserve">MAP 1.1, MANAGE 1.1</t>
  </si>
  <si>
    <t xml:space="preserve">AI risk management plan and current risk assessment output for this system.</t>
  </si>
  <si>
    <t xml:space="preserve">AI-RSK-002</t>
  </si>
  <si>
    <t xml:space="preserve">AI Impact Assessment</t>
  </si>
  <si>
    <t xml:space="preserve">An AI System Impact Assessment is completed covering potential impacts on individuals, identifiable groups and society, including foreseeable harms and their likelihood and severity.</t>
  </si>
  <si>
    <t xml:space="preserve">A.5.2, A.5.4, A.5.5</t>
  </si>
  <si>
    <t xml:space="preserve">MAP 1.1, MAP 3.1, MAP 5.1</t>
  </si>
  <si>
    <t xml:space="preserve">Art. 27</t>
  </si>
  <si>
    <t xml:space="preserve">Completed and approved AI impact assessment report.</t>
  </si>
  <si>
    <t xml:space="preserve">AI-RSK-003</t>
  </si>
  <si>
    <t xml:space="preserve">Fundamental Rights Impact Assessment</t>
  </si>
  <si>
    <t xml:space="preserve">[EU market only] Where the deployer is a public body or falls within scope, a Fundamental Rights Impact Assessment is performed before first use and notified to the relevant authority.</t>
  </si>
  <si>
    <t xml:space="preserve">A.5.4</t>
  </si>
  <si>
    <t xml:space="preserve">MAP 1.1, MAP 3.1</t>
  </si>
  <si>
    <t xml:space="preserve">Completed FRIA and evidence of notification where required.</t>
  </si>
  <si>
    <t xml:space="preserve">AI-RSK-004</t>
  </si>
  <si>
    <t xml:space="preserve">Privacy Impact Assessment</t>
  </si>
  <si>
    <t xml:space="preserve">A DPIA/PIA is completed where personal data is processed by, or inferable from, the AI system, and mitigations are tracked to closure.</t>
  </si>
  <si>
    <t xml:space="preserve">A.5.4, A.7.3</t>
  </si>
  <si>
    <t xml:space="preserve">MAP 4.1</t>
  </si>
  <si>
    <t xml:space="preserve">Art. 26(9)</t>
  </si>
  <si>
    <t xml:space="preserve">LLM02</t>
  </si>
  <si>
    <t xml:space="preserve">Approved DPIA with mitigation action tracker.</t>
  </si>
  <si>
    <t xml:space="preserve">AI-RSK-005</t>
  </si>
  <si>
    <t xml:space="preserve">Threat Modelling</t>
  </si>
  <si>
    <t xml:space="preserve">An AI-specific threat model is produced covering prompt injection, training and retrieval data poisoning, model extraction, model inversion, membership inference, evasion and supply-chain compromise, mapped to a recognised taxonomy (e.g. MITRE ATLAS).</t>
  </si>
  <si>
    <t xml:space="preserve">A.6.1.3</t>
  </si>
  <si>
    <t xml:space="preserve">MAP 5.1, MEASURE 1.1</t>
  </si>
  <si>
    <t xml:space="preserve">Art. 9(2), Art. 15</t>
  </si>
  <si>
    <t xml:space="preserve">LLM01, LLM04</t>
  </si>
  <si>
    <t xml:space="preserve">T1, T6</t>
  </si>
  <si>
    <t xml:space="preserve">Threat model document with threats, controls and residual risk per threat.</t>
  </si>
  <si>
    <t xml:space="preserve">AI-RSK-006</t>
  </si>
  <si>
    <t xml:space="preserve">Foreseeable Misuse</t>
  </si>
  <si>
    <t xml:space="preserve">Reasonably foreseeable misuse and abuse scenarios (including by internal users) are documented, tested and mitigated, and the intended-use boundary is explicitly stated.</t>
  </si>
  <si>
    <t xml:space="preserve">A.9.4, A.5.2</t>
  </si>
  <si>
    <t xml:space="preserve">MAP 3.4, MAP 5.1</t>
  </si>
  <si>
    <t xml:space="preserve">Art. 9(2)(b)</t>
  </si>
  <si>
    <t xml:space="preserve">LLM09</t>
  </si>
  <si>
    <t xml:space="preserve">T6, T15</t>
  </si>
  <si>
    <t xml:space="preserve">Misuse scenario register with mitigations and test results.</t>
  </si>
  <si>
    <t xml:space="preserve">AI-RSK-007</t>
  </si>
  <si>
    <t xml:space="preserve">Risk Treatment</t>
  </si>
  <si>
    <t xml:space="preserve">Identified AI risks are recorded in the risk register with owner, treatment plan, target date and current status, and are reviewed on a defined cadence.</t>
  </si>
  <si>
    <t xml:space="preserve">MANAGE 1.1, MANAGE 2.1</t>
  </si>
  <si>
    <t xml:space="preserve">Art. 9(2)(d)</t>
  </si>
  <si>
    <t xml:space="preserve">Extract of risk register entries relating to this system.</t>
  </si>
  <si>
    <t xml:space="preserve">AI-RSK-008</t>
  </si>
  <si>
    <t xml:space="preserve">Residual Risk Acceptance</t>
  </si>
  <si>
    <t xml:space="preserve">Residual risk is formally accepted in writing by the accountable business owner prior to production release, with justification and any compensating controls stated.</t>
  </si>
  <si>
    <t xml:space="preserve">MANAGE 1.3, MANAGE 2.1</t>
  </si>
  <si>
    <t xml:space="preserve">Art. 9(5)</t>
  </si>
  <si>
    <t xml:space="preserve">Signed residual risk acceptance record.</t>
  </si>
  <si>
    <t xml:space="preserve">AI-RSK-009</t>
  </si>
  <si>
    <t xml:space="preserve">Vulnerable Groups</t>
  </si>
  <si>
    <t xml:space="preserve">Exposure to vulnerable groups (including minors, persons with disabilities and economically vulnerable users) is assessed and additional safeguards applied where relevant.</t>
  </si>
  <si>
    <t xml:space="preserve">MAP 1.6, MAP 3.1</t>
  </si>
  <si>
    <t xml:space="preserve">Art. 9(9), Art. 5</t>
  </si>
  <si>
    <t xml:space="preserve">Section of the impact assessment addressing vulnerable groups.</t>
  </si>
  <si>
    <t xml:space="preserve">AI-RSK-010</t>
  </si>
  <si>
    <t xml:space="preserve">Reassessment Triggers</t>
  </si>
  <si>
    <t xml:space="preserve">Defined triggers require risk reassessment, including base-model change or upgrade, fine-tuning, new data source, new tool or integration, change of autonomy level, or expansion of user population.</t>
  </si>
  <si>
    <t xml:space="preserve">A.5.2, A.6.2.6</t>
  </si>
  <si>
    <t xml:space="preserve">MANAGE 4.1, MEASURE 4.3</t>
  </si>
  <si>
    <t xml:space="preserve">Art. 9(2), Art. 43(4)</t>
  </si>
  <si>
    <t xml:space="preserve">Documented reassessment trigger criteria and evidence of application.</t>
  </si>
  <si>
    <t xml:space="preserve">AI-DAT-001</t>
  </si>
  <si>
    <t xml:space="preserve">Data Inventory &amp; Classification</t>
  </si>
  <si>
    <t xml:space="preserve">All data used by the AI system is inventoried and classified by sensitivity, covering training, fine-tuning, retrieval/RAG corpora, prompts, outputs, embeddings and evaluation datasets.</t>
  </si>
  <si>
    <t xml:space="preserve">A.7.2, A.7.3, A.4.3</t>
  </si>
  <si>
    <t xml:space="preserve">MAP 2.1, MEASURE 2.8</t>
  </si>
  <si>
    <t xml:space="preserve">Art. 10(1)</t>
  </si>
  <si>
    <t xml:space="preserve">Data inventory listing each dataset, source, classification and processing purpose.</t>
  </si>
  <si>
    <t xml:space="preserve">AI-DAT-002</t>
  </si>
  <si>
    <t xml:space="preserve">Lawful Basis &amp; Consent</t>
  </si>
  <si>
    <t xml:space="preserve">A lawful basis is documented for all personal data used in training, fine-tuning, retrieval or inference, including any secondary use of operational data.</t>
  </si>
  <si>
    <t xml:space="preserve">A.7.3</t>
  </si>
  <si>
    <t xml:space="preserve">MAP 4.1, GOVERN 1.1</t>
  </si>
  <si>
    <t xml:space="preserve">Art. 10(5), Art. 26(9)</t>
  </si>
  <si>
    <t xml:space="preserve">Records of processing entry and lawful basis assessment.</t>
  </si>
  <si>
    <t xml:space="preserve">AI-DAT-003</t>
  </si>
  <si>
    <t xml:space="preserve">Data Provenance</t>
  </si>
  <si>
    <t xml:space="preserve">Provenance and lineage are recorded for every dataset, including origin, collection method, licensing, transformations applied and the version used by each model release.</t>
  </si>
  <si>
    <t xml:space="preserve">A.7.5, A.7.3</t>
  </si>
  <si>
    <t xml:space="preserve">Art. 10(2)</t>
  </si>
  <si>
    <t xml:space="preserve">LLM04</t>
  </si>
  <si>
    <t xml:space="preserve">T1</t>
  </si>
  <si>
    <t xml:space="preserve">Technical Documentation</t>
  </si>
  <si>
    <t xml:space="preserve">Data lineage records or dataset datasheets for each dataset in scope.</t>
  </si>
  <si>
    <t xml:space="preserve">AI-DAT-004</t>
  </si>
  <si>
    <t xml:space="preserve">Data Quality</t>
  </si>
  <si>
    <t xml:space="preserve">Data quality criteria are defined and evidenced covering accuracy, completeness, relevance, representativeness and freedom from known bias, appropriate to the intended purpose.</t>
  </si>
  <si>
    <t xml:space="preserve">A.7.4</t>
  </si>
  <si>
    <t xml:space="preserve">MEASURE 2.11, MAP 2.3</t>
  </si>
  <si>
    <t xml:space="preserve">Art. 10(3)</t>
  </si>
  <si>
    <t xml:space="preserve">LLM04, LLM09</t>
  </si>
  <si>
    <t xml:space="preserve">Data quality assessment results and remediation of identified defects.</t>
  </si>
  <si>
    <t xml:space="preserve">AI-DAT-005</t>
  </si>
  <si>
    <t xml:space="preserve">Data Minimisation</t>
  </si>
  <si>
    <t xml:space="preserve">Only the minimum data necessary for the stated purpose is ingested into prompts, context windows, retrieval corpora and training sets; unnecessary sensitive attributes are excluded at source.</t>
  </si>
  <si>
    <t xml:space="preserve">A.7.6</t>
  </si>
  <si>
    <t xml:space="preserve">MAP 4.1, MANAGE 2.2</t>
  </si>
  <si>
    <t xml:space="preserve">Art. 10(2)(b)</t>
  </si>
  <si>
    <t xml:space="preserve">Data flow diagram and field-level justification for sensitive attributes retained.</t>
  </si>
  <si>
    <t xml:space="preserve">AI-DAT-006</t>
  </si>
  <si>
    <t xml:space="preserve">Sensitive Data Handling</t>
  </si>
  <si>
    <t xml:space="preserve">Automated detection and redaction, masking or tokenisation of PII, PHI, PCI, credentials and confidential business data is applied to prompts, outputs, logs and training corpora.</t>
  </si>
  <si>
    <t xml:space="preserve">MEASURE 2.10, MANAGE 2.2</t>
  </si>
  <si>
    <t xml:space="preserve">Art. 10(5)</t>
  </si>
  <si>
    <t xml:space="preserve">Configuration Evidence</t>
  </si>
  <si>
    <t xml:space="preserve">Configuration of the DLP/redaction capability plus test results showing detection and masking.</t>
  </si>
  <si>
    <t xml:space="preserve">AI-DAT-007</t>
  </si>
  <si>
    <t xml:space="preserve">Encryption at Rest</t>
  </si>
  <si>
    <t xml:space="preserve">Datasets, retrieval corpora, vector stores, embeddings, model artefacts, prompts and logs are encrypted at rest using AES-256 or equivalent, with documented key ownership.</t>
  </si>
  <si>
    <t xml:space="preserve">A.4.5</t>
  </si>
  <si>
    <t xml:space="preserve">MANAGE 1.2</t>
  </si>
  <si>
    <t xml:space="preserve">Art. 15(1)</t>
  </si>
  <si>
    <t xml:space="preserve">LLM08</t>
  </si>
  <si>
    <t xml:space="preserve">Encryption configuration evidence per data store, including cipher and key management model.</t>
  </si>
  <si>
    <t xml:space="preserve">AI-DAT-008</t>
  </si>
  <si>
    <t xml:space="preserve">Encryption in Transit</t>
  </si>
  <si>
    <t xml:space="preserve">All traffic between clients, application, model endpoints, tools, agents and data stores is encrypted using TLS 1.2 or above with strong cipher suites and certificate validation.</t>
  </si>
  <si>
    <t xml:space="preserve">T12</t>
  </si>
  <si>
    <t xml:space="preserve">TLS configuration output or scan report for each exposed endpoint.</t>
  </si>
  <si>
    <t xml:space="preserve">AI-DAT-009</t>
  </si>
  <si>
    <t xml:space="preserve">Training Data Exclusion</t>
  </si>
  <si>
    <t xml:space="preserve">Customer prompts, outputs and uploaded content are excluded from provider model training, fine-tuning and human review by both contractual commitment and platform configuration.</t>
  </si>
  <si>
    <t xml:space="preserve">A.10.3, A.10.4</t>
  </si>
  <si>
    <t xml:space="preserve">GOVERN 6.1, MAP 4.1</t>
  </si>
  <si>
    <t xml:space="preserve">Art. 25</t>
  </si>
  <si>
    <t xml:space="preserve">Contract clause reference plus screenshot of the tenant setting disabling training and human review.</t>
  </si>
  <si>
    <t xml:space="preserve">AI-DAT-010</t>
  </si>
  <si>
    <t xml:space="preserve">Data Residency</t>
  </si>
  <si>
    <t xml:space="preserve">Data residency, processing location and cross-border transfer requirements are met, including any regulator-mandated in-country processing, with transfer mechanisms documented.</t>
  </si>
  <si>
    <t xml:space="preserve">Art. 10</t>
  </si>
  <si>
    <t xml:space="preserve">Cloud (All)</t>
  </si>
  <si>
    <t xml:space="preserve">Region configuration evidence and list of all processing/sub-processing locations.</t>
  </si>
  <si>
    <t xml:space="preserve">AI-DAT-011</t>
  </si>
  <si>
    <t xml:space="preserve">Retention &amp; Deletion</t>
  </si>
  <si>
    <t xml:space="preserve">Retention periods and secure deletion are defined and enforced for prompts, outputs, conversation history, agent memory, embeddings, caches, fine-tuning datasets and logs.</t>
  </si>
  <si>
    <t xml:space="preserve">MANAGE 3.1, MANAGE 2.2</t>
  </si>
  <si>
    <t xml:space="preserve">Art. 12</t>
  </si>
  <si>
    <t xml:space="preserve">Retention schedule and configuration evidence for each store, plus deletion job evidence.</t>
  </si>
  <si>
    <t xml:space="preserve">AI-DAT-012</t>
  </si>
  <si>
    <t xml:space="preserve">Data Subject Rights</t>
  </si>
  <si>
    <t xml:space="preserve">Data subject requests (access, rectification, erasure, objection) can be fulfilled across all AI data stores including vector indexes, caches, agent memory and backups.</t>
  </si>
  <si>
    <t xml:space="preserve">Art. 26(7)</t>
  </si>
  <si>
    <t xml:space="preserve">Documented DSR procedure covering AI data stores plus evidence of a test deletion.</t>
  </si>
  <si>
    <t xml:space="preserve">AI-DAT-013</t>
  </si>
  <si>
    <t xml:space="preserve">Vector Store Security</t>
  </si>
  <si>
    <t xml:space="preserve">The vector database enforces authentication, network restriction, tenant isolation and per-document access control evaluated at retrieval time rather than only at ingestion.</t>
  </si>
  <si>
    <t xml:space="preserve">A.4.5, A.7.6</t>
  </si>
  <si>
    <t xml:space="preserve">MANAGE 2.2</t>
  </si>
  <si>
    <t xml:space="preserve">LLM08, LLM02</t>
  </si>
  <si>
    <t xml:space="preserve">Access control configuration and test evidence showing an unauthorised user cannot retrieve restricted documents.</t>
  </si>
  <si>
    <t xml:space="preserve">AI-DAT-014</t>
  </si>
  <si>
    <t xml:space="preserve">Embedding Risk</t>
  </si>
  <si>
    <t xml:space="preserve">Risks of embedding inversion, cross-tenant similarity leakage and unintended semantic disclosure are assessed, with mitigations such as namespace isolation and metadata filtering.</t>
  </si>
  <si>
    <t xml:space="preserve">MEASURE 2.7, MAP 5.1</t>
  </si>
  <si>
    <t xml:space="preserve">Assessment of embedding-layer risks with applied mitigations.</t>
  </si>
  <si>
    <t xml:space="preserve">AI-DAT-015</t>
  </si>
  <si>
    <t xml:space="preserve">Retrieval Source Integrity</t>
  </si>
  <si>
    <t xml:space="preserve">Retrieval and knowledge-base content is sourced only from approved repositories, validated and sanitised on ingestion to remove hidden instructions, active content and malicious markup.</t>
  </si>
  <si>
    <t xml:space="preserve">A.7.4, A.7.6</t>
  </si>
  <si>
    <t xml:space="preserve">MANAGE 2.2, MEASURE 2.7</t>
  </si>
  <si>
    <t xml:space="preserve">LLM01, LLM04, LLM08</t>
  </si>
  <si>
    <t xml:space="preserve">T1, T12</t>
  </si>
  <si>
    <t xml:space="preserve">Ingestion pipeline design plus sanitisation test results against injected payloads.</t>
  </si>
  <si>
    <t xml:space="preserve">AI-DAT-016</t>
  </si>
  <si>
    <t xml:space="preserve">Synthetic Data</t>
  </si>
  <si>
    <t xml:space="preserve">Where synthetic or augmented data is generated or used, its creation is governed, it is labelled as synthetic, and the risk of amplifying artefacts or bias is assessed.</t>
  </si>
  <si>
    <t xml:space="preserve">A.7.6, A.7.5</t>
  </si>
  <si>
    <t xml:space="preserve">MEASURE 2.8, MEASURE 2.11</t>
  </si>
  <si>
    <t xml:space="preserve">T5</t>
  </si>
  <si>
    <t xml:space="preserve">Synthetic data generation procedure and labelling evidence.</t>
  </si>
  <si>
    <t xml:space="preserve">AI-MDL-001</t>
  </si>
  <si>
    <t xml:space="preserve">Model Documentation</t>
  </si>
  <si>
    <t xml:space="preserve">Technical documentation / model card is maintained for each model in use, covering architecture, version, provider, training data characteristics, evaluation results, intended purpose, limitations and known failure modes.</t>
  </si>
  <si>
    <t xml:space="preserve">A.6.2.7, A.6.2.3</t>
  </si>
  <si>
    <t xml:space="preserve">MAP 2.2, MAP 3.5</t>
  </si>
  <si>
    <t xml:space="preserve">Art. 11, Art. 53(1)</t>
  </si>
  <si>
    <t xml:space="preserve">Model card or technical documentation package, current for the deployed version.</t>
  </si>
  <si>
    <t xml:space="preserve">AI-MDL-002</t>
  </si>
  <si>
    <t xml:space="preserve">Approved Models</t>
  </si>
  <si>
    <t xml:space="preserve">The model and version selected is from the organisation's approved model list, or an exception is documented and approved, with the selection rationale recorded.</t>
  </si>
  <si>
    <t xml:space="preserve">A.4.4</t>
  </si>
  <si>
    <t xml:space="preserve">MAP 2.1, GOVERN 1.5</t>
  </si>
  <si>
    <t xml:space="preserve">Model selection record referencing the approved model list or approved exception.</t>
  </si>
  <si>
    <t xml:space="preserve">AI-MDL-003</t>
  </si>
  <si>
    <t xml:space="preserve">Model Registry &amp; Integrity</t>
  </si>
  <si>
    <t xml:space="preserve">Model artefacts and weights are stored in an access-controlled registry with immutable versioning, and integrity is verified by checksum or cryptographic signature before load.</t>
  </si>
  <si>
    <t xml:space="preserve">A.6.2.3, A.4.4</t>
  </si>
  <si>
    <t xml:space="preserve">MANAGE 2.2, MEASURE 2.8</t>
  </si>
  <si>
    <t xml:space="preserve">LLM03, LLM04</t>
  </si>
  <si>
    <t xml:space="preserve">PaaS/IaaS</t>
  </si>
  <si>
    <t xml:space="preserve">Registry access model, version history and integrity verification step in the deployment pipeline.</t>
  </si>
  <si>
    <t xml:space="preserve">AI-MDL-004</t>
  </si>
  <si>
    <t xml:space="preserve">Secure Development</t>
  </si>
  <si>
    <t xml:space="preserve">AI/ML application and pipeline code is developed under the secure SDLC, including peer review, SAST, software composition analysis, secrets scanning and dependency pinning.</t>
  </si>
  <si>
    <t xml:space="preserve">A.6.1.3, A.6.2.3</t>
  </si>
  <si>
    <t xml:space="preserve">MANAGE 2.2, MEASURE 2.5</t>
  </si>
  <si>
    <t xml:space="preserve">Art. 15</t>
  </si>
  <si>
    <t xml:space="preserve">T11</t>
  </si>
  <si>
    <t xml:space="preserve">Pipeline configuration plus most recent scan reports with findings and closure status.</t>
  </si>
  <si>
    <t xml:space="preserve">AI-MDL-005</t>
  </si>
  <si>
    <t xml:space="preserve">Pipeline Isolation</t>
  </si>
  <si>
    <t xml:space="preserve">Training and fine-tuning pipelines run in an isolated, access-controlled environment with logged access to data and compute, separated from production inference.</t>
  </si>
  <si>
    <t xml:space="preserve">A.6.2.3, A.4.5</t>
  </si>
  <si>
    <t xml:space="preserve">Architecture Diagram</t>
  </si>
  <si>
    <t xml:space="preserve">Architecture diagram and access control configuration for the training environment.</t>
  </si>
  <si>
    <t xml:space="preserve">AI-MDL-006</t>
  </si>
  <si>
    <t xml:space="preserve">Poisoning Controls</t>
  </si>
  <si>
    <t xml:space="preserve">Controls are applied to detect and prevent training, fine-tuning and retrieval data poisoning, including source validation, anomaly detection on training data and evaluation against a held-out trusted set.</t>
  </si>
  <si>
    <t xml:space="preserve">A.7.4, A.7.5</t>
  </si>
  <si>
    <t xml:space="preserve">MEASURE 2.7, MANAGE 2.2</t>
  </si>
  <si>
    <t xml:space="preserve">Description of poisoning controls and results of detection testing.</t>
  </si>
  <si>
    <t xml:space="preserve">AI-MDL-007</t>
  </si>
  <si>
    <t xml:space="preserve">Verification &amp; Validation</t>
  </si>
  <si>
    <t xml:space="preserve">The model is verified and validated against documented acceptance criteria before each release, including functional accuracy, safety and security criteria.</t>
  </si>
  <si>
    <t xml:space="preserve">MEASURE 2.5, MEASURE 1.1</t>
  </si>
  <si>
    <t xml:space="preserve">Art. 15(1), Art. 43</t>
  </si>
  <si>
    <t xml:space="preserve">V&amp;V report showing criteria, results and pass/fail decision for the deployed version.</t>
  </si>
  <si>
    <t xml:space="preserve">AI-MDL-008</t>
  </si>
  <si>
    <t xml:space="preserve">Performance Baselines</t>
  </si>
  <si>
    <t xml:space="preserve">Accuracy, robustness and performance metrics are defined, baselined at release and declared in the technical documentation, with thresholds for unacceptable degradation.</t>
  </si>
  <si>
    <t xml:space="preserve">MEASURE 2.3, MEASURE 2.5</t>
  </si>
  <si>
    <t xml:space="preserve">Art. 15(1), Art. 15(2)</t>
  </si>
  <si>
    <t xml:space="preserve">Baseline evaluation results with metric definitions and degradation thresholds.</t>
  </si>
  <si>
    <t xml:space="preserve">AI-MDL-009</t>
  </si>
  <si>
    <t xml:space="preserve">Bias &amp; Fairness Testing</t>
  </si>
  <si>
    <t xml:space="preserve">Bias and fairness testing is performed across relevant cohorts and protected characteristics, with results, interpretation and remediation actions documented.</t>
  </si>
  <si>
    <t xml:space="preserve">A.7.4, A.5.4</t>
  </si>
  <si>
    <t xml:space="preserve">MEASURE 2.11, MEASURE 2.1</t>
  </si>
  <si>
    <t xml:space="preserve">Art. 10(2)(f), Art. 15</t>
  </si>
  <si>
    <t xml:space="preserve">T7</t>
  </si>
  <si>
    <t xml:space="preserve">Fairness evaluation report with cohort breakdown and remediation record.</t>
  </si>
  <si>
    <t xml:space="preserve">AI-MDL-010</t>
  </si>
  <si>
    <t xml:space="preserve">Adversarial Robustness</t>
  </si>
  <si>
    <t xml:space="preserve">Adversarial robustness testing is performed covering evasion, model extraction, membership inference and model inversion, proportionate to the system's risk tier.</t>
  </si>
  <si>
    <t xml:space="preserve">MEASURE 2.7, MEASURE 2.6</t>
  </si>
  <si>
    <t xml:space="preserve">LLM04, LLM10</t>
  </si>
  <si>
    <t xml:space="preserve">Adversarial testing report with findings and mitigations.</t>
  </si>
  <si>
    <t xml:space="preserve">AI-MDL-011</t>
  </si>
  <si>
    <t xml:space="preserve">Reproducibility</t>
  </si>
  <si>
    <t xml:space="preserve">Model builds are reproducible: environment definition, framework versions, hyperparameters, random seeds and dataset snapshots are recorded per release.</t>
  </si>
  <si>
    <t xml:space="preserve">A.6.2.3</t>
  </si>
  <si>
    <t xml:space="preserve">MEASURE 2.8, MAP 2.2</t>
  </si>
  <si>
    <t xml:space="preserve">Art. 11</t>
  </si>
  <si>
    <t xml:space="preserve">Build manifest or experiment tracking record for the released model version.</t>
  </si>
  <si>
    <t xml:space="preserve">AI-MDL-012</t>
  </si>
  <si>
    <t xml:space="preserve">Model Change Control</t>
  </si>
  <si>
    <t xml:space="preserve">Model version changes, including provider-initiated base-model upgrades and deprecations, are subject to change control, regression testing and documented rollback capability.</t>
  </si>
  <si>
    <t xml:space="preserve">A.6.2.6, A.6.2.5</t>
  </si>
  <si>
    <t xml:space="preserve">Art. 43(4), Art. 72</t>
  </si>
  <si>
    <t xml:space="preserve">Change control records for model changes plus evidence of a tested rollback path.</t>
  </si>
  <si>
    <t xml:space="preserve">AI-MDL-013</t>
  </si>
  <si>
    <t xml:space="preserve">Guardrail Layer</t>
  </si>
  <si>
    <t xml:space="preserve">Safety and security guardrails are implemented as a distinct, independently version-controlled layer that cannot be disabled by model output or user input, and are tested separately from the model.</t>
  </si>
  <si>
    <t xml:space="preserve">MANAGE 2.3, MEASURE 2.6</t>
  </si>
  <si>
    <t xml:space="preserve">LLM01, LLM05</t>
  </si>
  <si>
    <t xml:space="preserve">T6, T2</t>
  </si>
  <si>
    <t xml:space="preserve">Guardrail configuration, version control evidence and bypass test results.</t>
  </si>
  <si>
    <t xml:space="preserve">AI-MDL-014</t>
  </si>
  <si>
    <t xml:space="preserve">Decommissioning</t>
  </si>
  <si>
    <t xml:space="preserve">A decommissioning process exists covering withdrawal of the model, secure destruction of artefacts, embeddings and derived data, and notification of affected users.</t>
  </si>
  <si>
    <t xml:space="preserve">MANAGE 3.1, MANAGE 2.4</t>
  </si>
  <si>
    <t xml:space="preserve">Art. 20</t>
  </si>
  <si>
    <t xml:space="preserve">Decommissioning procedure and certificate of destruction template.</t>
  </si>
  <si>
    <t xml:space="preserve">AI-SUP-001</t>
  </si>
  <si>
    <t xml:space="preserve">Vendor Due Diligence</t>
  </si>
  <si>
    <t xml:space="preserve">Security, privacy and AI governance due diligence is completed on the AI provider before contract, proportionate to the data sensitivity and risk tier.</t>
  </si>
  <si>
    <t xml:space="preserve">Completed vendor risk assessment with risk rating and approval.</t>
  </si>
  <si>
    <t xml:space="preserve">AI-SUP-002</t>
  </si>
  <si>
    <t xml:space="preserve">Independent Assurance</t>
  </si>
  <si>
    <t xml:space="preserve">Current independent assurance evidence is obtained, such as ISO/IEC 27001, ISO/IEC 42001, SOC 2 Type II, and a recent penetration test summary covering the AI service.</t>
  </si>
  <si>
    <t xml:space="preserve">GOVERN 6.1, MEASURE 3.3</t>
  </si>
  <si>
    <t xml:space="preserve">Certification/Attestation</t>
  </si>
  <si>
    <t xml:space="preserve">Certificates with scope statements and validity dates; SOC 2 report with CUEC review.</t>
  </si>
  <si>
    <t xml:space="preserve">AI-SUP-003</t>
  </si>
  <si>
    <t xml:space="preserve">Supply Chain Transparency</t>
  </si>
  <si>
    <t xml:space="preserve">The full AI supply chain is disclosed, including base model provider, hosting provider, inference region, sub-processors, and any downstream models or agents invoked.</t>
  </si>
  <si>
    <t xml:space="preserve">A.10.2, A.10.3</t>
  </si>
  <si>
    <t xml:space="preserve">MAP 4.1, GOVERN 6.1</t>
  </si>
  <si>
    <t xml:space="preserve">T13</t>
  </si>
  <si>
    <t xml:space="preserve">Sub-processor list and architecture description showing all parties in the data path.</t>
  </si>
  <si>
    <t xml:space="preserve">AI-SUP-004</t>
  </si>
  <si>
    <t xml:space="preserve">Contractual Controls</t>
  </si>
  <si>
    <t xml:space="preserve">The contract includes AI-specific obligations: security and privacy requirements, incident notification timelines, model change notification, audit and assurance rights, liability, and restrictions on data use.</t>
  </si>
  <si>
    <t xml:space="preserve">GOVERN 6.2, MANAGE 3.1</t>
  </si>
  <si>
    <t xml:space="preserve">Art. 25, Art. 73</t>
  </si>
  <si>
    <t xml:space="preserve">Executed contract or clause extract covering each obligation.</t>
  </si>
  <si>
    <t xml:space="preserve">AI-SUP-005</t>
  </si>
  <si>
    <t xml:space="preserve">Licensing</t>
  </si>
  <si>
    <t xml:space="preserve">Model, dataset and component licences are verified as compatible with the intended commercial use, including open-weight and open-source licence obligations and any downstream restrictions.</t>
  </si>
  <si>
    <t xml:space="preserve">Art. 53(1)(c)</t>
  </si>
  <si>
    <t xml:space="preserve">Licence inventory with compatibility assessment.</t>
  </si>
  <si>
    <t xml:space="preserve">AI-SUP-006</t>
  </si>
  <si>
    <t xml:space="preserve">Artefact Provenance</t>
  </si>
  <si>
    <t xml:space="preserve">Third-party models, datasets and packages are obtained from verified sources with publisher identity, signature or checksum validated before use, and pinned to specific versions.</t>
  </si>
  <si>
    <t xml:space="preserve">A.7.5, A.10.3</t>
  </si>
  <si>
    <t xml:space="preserve">Provenance verification step in the pipeline plus example verification output.</t>
  </si>
  <si>
    <t xml:space="preserve">AI-SUP-007</t>
  </si>
  <si>
    <t xml:space="preserve">AI Bill of Materials</t>
  </si>
  <si>
    <t xml:space="preserve">An AI Bill of Materials is maintained listing models, datasets, frameworks, libraries, plugins, connectors and agents, with versions, and is refreshed on change.</t>
  </si>
  <si>
    <t xml:space="preserve">A.4.4, A.10.2</t>
  </si>
  <si>
    <t xml:space="preserve">MAP 4.1, MEASURE 2.8</t>
  </si>
  <si>
    <t xml:space="preserve">Current AIBOM/SBOM export.</t>
  </si>
  <si>
    <t xml:space="preserve">AI-SUP-008</t>
  </si>
  <si>
    <t xml:space="preserve">Component Vulnerability Management</t>
  </si>
  <si>
    <t xml:space="preserve">Vulnerabilities in ML frameworks, inference servers, model-serving runtimes, orchestration libraries and notebook environments are tracked and remediated to defined SLAs.</t>
  </si>
  <si>
    <t xml:space="preserve">MANAGE 2.2, MEASURE 2.6</t>
  </si>
  <si>
    <t xml:space="preserve">Vulnerability scan output for AI stack components with remediation SLA evidence.</t>
  </si>
  <si>
    <t xml:space="preserve">AI-SUP-009</t>
  </si>
  <si>
    <t xml:space="preserve">Plugin &amp; Connector Review</t>
  </si>
  <si>
    <t xml:space="preserve">Every plugin, extension, connector or MCP server integrated with the AI system is inventoried and security-reviewed before enablement, with permissions scoped to the minimum required.</t>
  </si>
  <si>
    <t xml:space="preserve">A.10.2</t>
  </si>
  <si>
    <t xml:space="preserve">LLM03, LLM06</t>
  </si>
  <si>
    <t xml:space="preserve">T2, T12</t>
  </si>
  <si>
    <t xml:space="preserve">Connector inventory with review records and granted permission scopes.</t>
  </si>
  <si>
    <t xml:space="preserve">AI-SUP-010</t>
  </si>
  <si>
    <t xml:space="preserve">Vendor Incident Process</t>
  </si>
  <si>
    <t xml:space="preserve">The provider has a documented vulnerability disclosure and incident notification process covering AI-specific incidents, with committed notification timelines.</t>
  </si>
  <si>
    <t xml:space="preserve">A.8.4, A.10.3</t>
  </si>
  <si>
    <t xml:space="preserve">MANAGE 4.3</t>
  </si>
  <si>
    <t xml:space="preserve">Art. 73</t>
  </si>
  <si>
    <t xml:space="preserve">Provider incident response and disclosure policy plus contractual notification SLA.</t>
  </si>
  <si>
    <t xml:space="preserve">AI-SUP-011</t>
  </si>
  <si>
    <t xml:space="preserve">Ongoing Monitoring</t>
  </si>
  <si>
    <t xml:space="preserve">The provider is subject to periodic reassessment and continuous monitoring proportionate to risk tier, covering assurance recertification, incidents and material service changes.</t>
  </si>
  <si>
    <t xml:space="preserve">GOVERN 6.1, MANAGE 4.1</t>
  </si>
  <si>
    <t xml:space="preserve">Art. 72</t>
  </si>
  <si>
    <t xml:space="preserve">Reassessment schedule and most recent monitoring output.</t>
  </si>
  <si>
    <t xml:space="preserve">AI-SUP-012</t>
  </si>
  <si>
    <t xml:space="preserve">Concentration &amp; Fallback</t>
  </si>
  <si>
    <t xml:space="preserve">Dependency concentration on a single model or provider is assessed, and a fallback model, provider or non-AI process is identified for business-critical use cases.</t>
  </si>
  <si>
    <t xml:space="preserve">Dependency assessment and documented fallback design.</t>
  </si>
  <si>
    <t xml:space="preserve">AI-PRM-001</t>
  </si>
  <si>
    <t xml:space="preserve">Direct Prompt Injection Defence</t>
  </si>
  <si>
    <t xml:space="preserve">Defences against direct prompt injection are implemented, including clear instruction hierarchy, structured separation of system and user content, input classification and refusal of instruction-override attempts.</t>
  </si>
  <si>
    <t xml:space="preserve">MANAGE 2.3, MEASURE 2.7</t>
  </si>
  <si>
    <t xml:space="preserve">AI-PRM-002</t>
  </si>
  <si>
    <t xml:space="preserve">Indirect Prompt Injection Defence</t>
  </si>
  <si>
    <t xml:space="preserve">Content from untrusted sources (documents, web pages, email, tickets, tool outputs, other agents) is treated as data not instructions, and is sanitised and isolated before entering the context window.</t>
  </si>
  <si>
    <t xml:space="preserve">A.7.4, A.6.2.4</t>
  </si>
  <si>
    <t xml:space="preserve">LLM01, LLM08</t>
  </si>
  <si>
    <t xml:space="preserve">Design of untrusted-content handling plus indirect injection test results.</t>
  </si>
  <si>
    <t xml:space="preserve">AI-PRM-003</t>
  </si>
  <si>
    <t xml:space="preserve">System Prompt Hygiene</t>
  </si>
  <si>
    <t xml:space="preserve">System prompts and instruction templates contain no credentials, API keys, connection strings, confidential business rules or security controls that would be bypassed if disclosed.</t>
  </si>
  <si>
    <t xml:space="preserve">LLM07</t>
  </si>
  <si>
    <t xml:space="preserve">Code/Pipeline Artifact</t>
  </si>
  <si>
    <t xml:space="preserve">Reviewed system prompt (redacted as needed) and evidence of secrets scanning on prompt templates.</t>
  </si>
  <si>
    <t xml:space="preserve">AI-PRM-004</t>
  </si>
  <si>
    <t xml:space="preserve">System Prompt Leakage Testing</t>
  </si>
  <si>
    <t xml:space="preserve">Resistance to system prompt extraction is tested, and security does not depend on the confidentiality of the system prompt.</t>
  </si>
  <si>
    <t xml:space="preserve">Extraction test results and statement of controls that hold if the prompt is disclosed.</t>
  </si>
  <si>
    <t xml:space="preserve">AI-PRM-005</t>
  </si>
  <si>
    <t xml:space="preserve">Input Validation</t>
  </si>
  <si>
    <t xml:space="preserve">User inputs and uploaded content are validated for type, size, encoding, structure and length, with limits on context injection, file size and file type.</t>
  </si>
  <si>
    <t xml:space="preserve">LLM01, LLM10</t>
  </si>
  <si>
    <t xml:space="preserve">T4</t>
  </si>
  <si>
    <t xml:space="preserve">Validation rules and limits configuration plus negative test results.</t>
  </si>
  <si>
    <t xml:space="preserve">AI-PRM-006</t>
  </si>
  <si>
    <t xml:space="preserve">Output Handling</t>
  </si>
  <si>
    <t xml:space="preserve">Model output is encoded, sanitised and validated before rendering, storage or downstream use, preventing XSS, markdown/HTML injection, CSV injection, SSRF via rendered links and template injection.</t>
  </si>
  <si>
    <t xml:space="preserve">LLM05</t>
  </si>
  <si>
    <t xml:space="preserve">Output handling design plus test results for each injection class.</t>
  </si>
  <si>
    <t xml:space="preserve">AI-PRM-007</t>
  </si>
  <si>
    <t xml:space="preserve">No Direct Execution</t>
  </si>
  <si>
    <t xml:space="preserve">Model-generated content is never passed unvalidated to interpreters, shells, database queries, file system operations or HTTP clients; parameterisation and allowlists are enforced.</t>
  </si>
  <si>
    <t xml:space="preserve">T11, T2</t>
  </si>
  <si>
    <t xml:space="preserve">Code review evidence showing validation and parameterisation at each execution boundary.</t>
  </si>
  <si>
    <t xml:space="preserve">AI-PRM-008</t>
  </si>
  <si>
    <t xml:space="preserve">Content Safety Filtering</t>
  </si>
  <si>
    <t xml:space="preserve">Input and output content safety filtering is enabled and tuned to the organisation's acceptable use policy, covering harmful, illegal, unsafe and out-of-policy content.</t>
  </si>
  <si>
    <t xml:space="preserve">A.9.2, A.9.3</t>
  </si>
  <si>
    <t xml:space="preserve">LLM01, LLM09</t>
  </si>
  <si>
    <t xml:space="preserve">Filter configuration with categories and thresholds, plus sample blocked-event evidence.</t>
  </si>
  <si>
    <t xml:space="preserve">AI-PRM-009</t>
  </si>
  <si>
    <t xml:space="preserve">AI Red Teaming</t>
  </si>
  <si>
    <t xml:space="preserve">Adversarial red teaming against the deployed configuration is performed before go-live and after material change, covering jailbreaks, injection, data exfiltration and unsafe output generation, with findings remediated.</t>
  </si>
  <si>
    <t xml:space="preserve">MEASURE 2.7, MEASURE 1.1</t>
  </si>
  <si>
    <t xml:space="preserve">Art. 15(5), Art. 55</t>
  </si>
  <si>
    <t xml:space="preserve">LLM01, LLM02</t>
  </si>
  <si>
    <t xml:space="preserve">T6, T7</t>
  </si>
  <si>
    <t xml:space="preserve">Red team report with scope, methodology, findings, severity and closure status.</t>
  </si>
  <si>
    <t xml:space="preserve">AI-PRM-010</t>
  </si>
  <si>
    <t xml:space="preserve">Grounding &amp; Citation</t>
  </si>
  <si>
    <t xml:space="preserve">Where factual accuracy matters, responses are grounded in retrieved authoritative sources and cite them, enabling user verification.</t>
  </si>
  <si>
    <t xml:space="preserve">MEASURE 2.9, MANAGE 2.3</t>
  </si>
  <si>
    <t xml:space="preserve">Art. 13</t>
  </si>
  <si>
    <t xml:space="preserve">Design showing grounding approach and example outputs with citations.</t>
  </si>
  <si>
    <t xml:space="preserve">AI-PRM-011</t>
  </si>
  <si>
    <t xml:space="preserve">Uncertainty &amp; Refusal</t>
  </si>
  <si>
    <t xml:space="preserve">The system signals uncertainty, declines out-of-scope requests, and does not fabricate answers where confidence or source coverage is insufficient.</t>
  </si>
  <si>
    <t xml:space="preserve">A.6.2.4, A.9.4</t>
  </si>
  <si>
    <t xml:space="preserve">MEASURE 2.9, MEASURE 2.5</t>
  </si>
  <si>
    <t xml:space="preserve">Art. 13, Art. 15(1)</t>
  </si>
  <si>
    <t xml:space="preserve">T5, T7</t>
  </si>
  <si>
    <t xml:space="preserve">Defined refusal behaviour plus test evidence for out-of-scope prompts.</t>
  </si>
  <si>
    <t xml:space="preserve">AI-PRM-012</t>
  </si>
  <si>
    <t xml:space="preserve">Rate Limiting &amp; Quotas</t>
  </si>
  <si>
    <t xml:space="preserve">Rate limits, request quotas and token budgets are enforced per user, tenant, session and API key, with hard ceilings that cannot be exceeded.</t>
  </si>
  <si>
    <t xml:space="preserve">LLM10</t>
  </si>
  <si>
    <t xml:space="preserve">Rate limit and quota configuration plus evidence of enforcement under test.</t>
  </si>
  <si>
    <t xml:space="preserve">AI-PRM-013</t>
  </si>
  <si>
    <t xml:space="preserve">Consumption Monitoring</t>
  </si>
  <si>
    <t xml:space="preserve">Token, request and cost consumption is monitored with anomaly thresholds and alerting to detect denial-of-wallet, scraping and model extraction attempts.</t>
  </si>
  <si>
    <t xml:space="preserve">A.6.2.6</t>
  </si>
  <si>
    <t xml:space="preserve">MEASURE 2.6, MANAGE 4.1</t>
  </si>
  <si>
    <t xml:space="preserve">Monitoring dashboard and alert rule definitions with recipients.</t>
  </si>
  <si>
    <t xml:space="preserve">AI-PRM-014</t>
  </si>
  <si>
    <t xml:space="preserve">Response Caching</t>
  </si>
  <si>
    <t xml:space="preserve">Any caching of prompts, embeddings or responses is scoped to prevent cross-user or cross-tenant disclosure, and cache keys incorporate the identity and authorisation context.</t>
  </si>
  <si>
    <t xml:space="preserve">LLM02, LLM08</t>
  </si>
  <si>
    <t xml:space="preserve">Cache design documentation and isolation test results.</t>
  </si>
  <si>
    <t xml:space="preserve">AI-PRM-015</t>
  </si>
  <si>
    <t xml:space="preserve">Inference Endpoint Hardening</t>
  </si>
  <si>
    <t xml:space="preserve">Model and inference endpoints are authenticated, reached only through a controlled gateway rather than direct public exposure, return no verbose errors, stack traces or model metadata on failure, and are protected against enumeration and automated scraping.</t>
  </si>
  <si>
    <t xml:space="preserve">LLM02, LLM10</t>
  </si>
  <si>
    <t xml:space="preserve">Endpoint exposure and authentication configuration, plus test output confirming error responses disclose no internal or model detail.</t>
  </si>
  <si>
    <t xml:space="preserve">AI-AGT-001</t>
  </si>
  <si>
    <t xml:space="preserve">Agent Inventory</t>
  </si>
  <si>
    <t xml:space="preserve">Every agent is registered with its purpose, owner, autonomy level, tools and permissions, data access, invoking systems and downstream agents.</t>
  </si>
  <si>
    <t xml:space="preserve">MAP 1.1, MAP 2.1</t>
  </si>
  <si>
    <t xml:space="preserve">Art. 49</t>
  </si>
  <si>
    <t xml:space="preserve">LLM06</t>
  </si>
  <si>
    <t xml:space="preserve">T13, T8</t>
  </si>
  <si>
    <t xml:space="preserve">Agent register export covering all agents in the solution.</t>
  </si>
  <si>
    <t xml:space="preserve">AI-AGT-002</t>
  </si>
  <si>
    <t xml:space="preserve">Tool Allowlisting</t>
  </si>
  <si>
    <t xml:space="preserve">Each agent is restricted to an explicit allowlist of tools and functions; dynamic tool discovery or registration from untrusted sources is disabled.</t>
  </si>
  <si>
    <t xml:space="preserve">MANAGE 2.2, MAP 3.4</t>
  </si>
  <si>
    <t xml:space="preserve">Tool allowlist configuration per agent and evidence that unlisted tools are rejected.</t>
  </si>
  <si>
    <t xml:space="preserve">AI-AGT-003</t>
  </si>
  <si>
    <t xml:space="preserve">Action Blast Radius</t>
  </si>
  <si>
    <t xml:space="preserve">Every tool and action is classified by blast radius and reversibility; destructive, financial, external-facing or irreversible actions require explicit human approval before execution.</t>
  </si>
  <si>
    <t xml:space="preserve">A.6.2.2, A.9.2</t>
  </si>
  <si>
    <t xml:space="preserve">MANAGE 2.1, MAP 3.4</t>
  </si>
  <si>
    <t xml:space="preserve">Art. 14</t>
  </si>
  <si>
    <t xml:space="preserve">T2, T10</t>
  </si>
  <si>
    <t xml:space="preserve">Action classification matrix and configuration showing approval gating for high-impact actions.</t>
  </si>
  <si>
    <t xml:space="preserve">AI-AGT-004</t>
  </si>
  <si>
    <t xml:space="preserve">Human-in-the-Loop Design</t>
  </si>
  <si>
    <t xml:space="preserve">Human approval gates are designed to be meaningful: the approver is presented with sufficient context to judge, volume is controlled to avoid approval fatigue, and blanket or default approvals are not permitted.</t>
  </si>
  <si>
    <t xml:space="preserve">A.9.2</t>
  </si>
  <si>
    <t xml:space="preserve">MANAGE 2.1, GOVERN 3.2</t>
  </si>
  <si>
    <t xml:space="preserve">Art. 14(4)</t>
  </si>
  <si>
    <t xml:space="preserve">T10, T15</t>
  </si>
  <si>
    <t xml:space="preserve">Approval UX design, expected approval volume analysis and escalation rules.</t>
  </si>
  <si>
    <t xml:space="preserve">AI-AGT-005</t>
  </si>
  <si>
    <t xml:space="preserve">Agent Identity</t>
  </si>
  <si>
    <t xml:space="preserve">Each agent operates under a distinct, non-human machine identity; shared, borrowed or human-user credentials are not used for agent execution.</t>
  </si>
  <si>
    <t xml:space="preserve">T9, T3</t>
  </si>
  <si>
    <t xml:space="preserve">Identity configuration showing per-agent service principals and their assigned scopes.</t>
  </si>
  <si>
    <t xml:space="preserve">AI-AGT-006</t>
  </si>
  <si>
    <t xml:space="preserve">Scoped Delegation</t>
  </si>
  <si>
    <t xml:space="preserve">Authority delegated to agents is scoped to the invoking user's entitlements, time-bound, and revocable; standing privileged access for agents is prohibited.</t>
  </si>
  <si>
    <t xml:space="preserve">MANAGE 2.2, MANAGE 2.1</t>
  </si>
  <si>
    <t xml:space="preserve">T3, T9</t>
  </si>
  <si>
    <t xml:space="preserve">Token issuance and scoping design plus evidence of expiry and revocation.</t>
  </si>
  <si>
    <t xml:space="preserve">AI-AGT-007</t>
  </si>
  <si>
    <t xml:space="preserve">Memory Integrity</t>
  </si>
  <si>
    <t xml:space="preserve">Long-term and shared agent memory is validated on write, records provenance, has defined time-to-live, and is protected against poisoning by untrusted content or prior compromised sessions.</t>
  </si>
  <si>
    <t xml:space="preserve">LLM04, LLM08</t>
  </si>
  <si>
    <t xml:space="preserve">Memory architecture with validation, provenance and TTL controls, plus poisoning test results.</t>
  </si>
  <si>
    <t xml:space="preserve">AI-AGT-008</t>
  </si>
  <si>
    <t xml:space="preserve">Memory Isolation</t>
  </si>
  <si>
    <t xml:space="preserve">Agent memory and context are isolated per user, tenant and session, with no bleed of one principal's data into another's context.</t>
  </si>
  <si>
    <t xml:space="preserve">Isolation design plus cross-user leakage test results.</t>
  </si>
  <si>
    <t xml:space="preserve">AI-AGT-009</t>
  </si>
  <si>
    <t xml:space="preserve">Goal Integrity</t>
  </si>
  <si>
    <t xml:space="preserve">Agent task boundaries and success criteria are explicitly defined and enforced, with detection of goal deviation, scope expansion or objective manipulation mid-task.</t>
  </si>
  <si>
    <t xml:space="preserve">MEASURE 2.6, MANAGE 2.3</t>
  </si>
  <si>
    <t xml:space="preserve">LLM01, LLM06</t>
  </si>
  <si>
    <t xml:space="preserve">Task boundary enforcement design and deviation detection evidence.</t>
  </si>
  <si>
    <t xml:space="preserve">AI-AGT-010</t>
  </si>
  <si>
    <t xml:space="preserve">Execution Limits</t>
  </si>
  <si>
    <t xml:space="preserve">Hard limits are enforced on reasoning loops, recursion depth, tool invocations, wall-clock runtime and spend per task, with automatic termination on breach.</t>
  </si>
  <si>
    <t xml:space="preserve">Limit configuration values and evidence of automatic termination under test.</t>
  </si>
  <si>
    <t xml:space="preserve">AI-AGT-011</t>
  </si>
  <si>
    <t xml:space="preserve">Inter-Agent Communication</t>
  </si>
  <si>
    <t xml:space="preserve">Communication between agents is mutually authenticated, integrity-protected and validated; messages from other agents are treated as untrusted input.</t>
  </si>
  <si>
    <t xml:space="preserve">T12, T13, T9</t>
  </si>
  <si>
    <t xml:space="preserve">Inter-agent protocol design showing authentication and message validation.</t>
  </si>
  <si>
    <t xml:space="preserve">AI-AGT-012</t>
  </si>
  <si>
    <t xml:space="preserve">Rogue Agent Detection</t>
  </si>
  <si>
    <t xml:space="preserve">Only registered, authorised agents can join the multi-agent environment or orchestration graph, and unregistered or anomalous agents are detected and blocked.</t>
  </si>
  <si>
    <t xml:space="preserve">T13, T9</t>
  </si>
  <si>
    <t xml:space="preserve">Agent registration and admission control configuration plus detection alert evidence.</t>
  </si>
  <si>
    <t xml:space="preserve">AI-AGT-013</t>
  </si>
  <si>
    <t xml:space="preserve">Sandboxed Execution</t>
  </si>
  <si>
    <t xml:space="preserve">Any code generated or executed by the agent runs in an ephemeral, isolated sandbox with no host credentials, restricted filesystem, default-deny egress and enforced resource limits.</t>
  </si>
  <si>
    <t xml:space="preserve">Sandbox architecture and configuration, including egress policy and resource caps.</t>
  </si>
  <si>
    <t xml:space="preserve">AI-AGT-014</t>
  </si>
  <si>
    <t xml:space="preserve">Action Traceability</t>
  </si>
  <si>
    <t xml:space="preserve">Every agent decision and action is logged with agent identity, invoking principal, triggering prompt, reasoning summary, tool called, parameters, result and timestamp, sufficient to attribute and reconstruct the action.</t>
  </si>
  <si>
    <t xml:space="preserve">A.6.2.8</t>
  </si>
  <si>
    <t xml:space="preserve">Art. 12, Art. 19</t>
  </si>
  <si>
    <t xml:space="preserve">T8</t>
  </si>
  <si>
    <t xml:space="preserve">Log Sample</t>
  </si>
  <si>
    <t xml:space="preserve">Sample log records for a complete agent task showing all required fields.</t>
  </si>
  <si>
    <t xml:space="preserve">AI-AGT-015</t>
  </si>
  <si>
    <t xml:space="preserve">Kill Switch</t>
  </si>
  <si>
    <t xml:space="preserve">An emergency stop capability exists to immediately suspend an agent, halt in-flight tasks and revoke its credentials, and it is tested.</t>
  </si>
  <si>
    <t xml:space="preserve">MANAGE 2.4, MANAGE 4.1</t>
  </si>
  <si>
    <t xml:space="preserve">T3, T13</t>
  </si>
  <si>
    <t xml:space="preserve">Kill switch procedure, responsible roles and evidence of a successful test.</t>
  </si>
  <si>
    <t xml:space="preserve">AI-AGT-016</t>
  </si>
  <si>
    <t xml:space="preserve">Cascade Containment</t>
  </si>
  <si>
    <t xml:space="preserve">Downstream agents and steps validate upstream outputs rather than trusting them implicitly, preventing propagation of hallucinated or manipulated content through the workflow.</t>
  </si>
  <si>
    <t xml:space="preserve">T5, T12</t>
  </si>
  <si>
    <t xml:space="preserve">Validation checkpoints in the orchestration design plus test evidence.</t>
  </si>
  <si>
    <t xml:space="preserve">AI-AGT-017</t>
  </si>
  <si>
    <t xml:space="preserve">Behavioural Monitoring</t>
  </si>
  <si>
    <t xml:space="preserve">A behavioural baseline is established for each agent, and deviations such as unusual tool sequences, off-hours activity, data volume spikes or novel destinations are alerted on.</t>
  </si>
  <si>
    <t xml:space="preserve">T7, T13</t>
  </si>
  <si>
    <t xml:space="preserve">Baseline definition and detection rules with sample alerts.</t>
  </si>
  <si>
    <t xml:space="preserve">AI-AGT-018</t>
  </si>
  <si>
    <t xml:space="preserve">Autonomy Review</t>
  </si>
  <si>
    <t xml:space="preserve">The agent's autonomy level is reviewed on a defined cadence and after incidents, confirming that the level of independent action remains appropriate to demonstrated reliability.</t>
  </si>
  <si>
    <t xml:space="preserve">A.9.2, A.2.4</t>
  </si>
  <si>
    <t xml:space="preserve">T7, T10</t>
  </si>
  <si>
    <t xml:space="preserve">Autonomy review record with decision and rationale.</t>
  </si>
  <si>
    <t xml:space="preserve">AI-IAM-001</t>
  </si>
  <si>
    <t xml:space="preserve">Federated Authentication</t>
  </si>
  <si>
    <t xml:space="preserve">All human access to the AI application, administrative consoles and model endpoints is authenticated through the enterprise identity provider using SSO.</t>
  </si>
  <si>
    <t xml:space="preserve">T9</t>
  </si>
  <si>
    <t xml:space="preserve">SSO configuration evidence and confirmation that local accounts are disabled or exception-approved.</t>
  </si>
  <si>
    <t xml:space="preserve">AI-IAM-002</t>
  </si>
  <si>
    <t xml:space="preserve">Multi-Factor Authentication</t>
  </si>
  <si>
    <t xml:space="preserve">Multi-factor authentication is enforced for all administrative, privileged and remote access to AI platform components and data stores.</t>
  </si>
  <si>
    <t xml:space="preserve">MFA policy configuration and coverage report for privileged accounts.</t>
  </si>
  <si>
    <t xml:space="preserve">AI-IAM-003</t>
  </si>
  <si>
    <t xml:space="preserve">Least Privilege Access</t>
  </si>
  <si>
    <t xml:space="preserve">Role-based or attribute-based access control is implemented with least privilege for end users, developers, model operators, administrators and agents, with documented role definitions.</t>
  </si>
  <si>
    <t xml:space="preserve">Role definition matrix and current role assignment export.</t>
  </si>
  <si>
    <t xml:space="preserve">AI-IAM-004</t>
  </si>
  <si>
    <t xml:space="preserve">Segregation of Duties</t>
  </si>
  <si>
    <t xml:space="preserve">Development, approval and production deployment of models, prompts and guardrails are segregated so that no single individual can build and release unilaterally.</t>
  </si>
  <si>
    <t xml:space="preserve">A.3.2, A.6.2.5</t>
  </si>
  <si>
    <t xml:space="preserve">GOVERN 2.1, MANAGE 2.2</t>
  </si>
  <si>
    <t xml:space="preserve">Pipeline approval configuration demonstrating enforced separation.</t>
  </si>
  <si>
    <t xml:space="preserve">AI-IAM-005</t>
  </si>
  <si>
    <t xml:space="preserve">Secrets Management</t>
  </si>
  <si>
    <t xml:space="preserve">API keys, service credentials and tokens are stored in a managed secrets vault, rotated on a defined schedule, and never embedded in code, prompts, notebooks or configuration files.</t>
  </si>
  <si>
    <t xml:space="preserve">Vault configuration, rotation policy and secrets scanning results for the repository.</t>
  </si>
  <si>
    <t xml:space="preserve">AI-IAM-006</t>
  </si>
  <si>
    <t xml:space="preserve">Access Reviews</t>
  </si>
  <si>
    <t xml:space="preserve">Access to the AI platform, training data, model registry and vector stores is recertified on a defined frequency, including machine and agent identities.</t>
  </si>
  <si>
    <t xml:space="preserve">MANAGE 2.2, MANAGE 4.1</t>
  </si>
  <si>
    <t xml:space="preserve">Most recent access review record with revocations actioned.</t>
  </si>
  <si>
    <t xml:space="preserve">AI-IAM-007</t>
  </si>
  <si>
    <t xml:space="preserve">Privileged Access Management</t>
  </si>
  <si>
    <t xml:space="preserve">Privileged access to production models, data stores and pipelines is granted just-in-time, approved, time-bound and session-recorded.</t>
  </si>
  <si>
    <t xml:space="preserve">PAM configuration and sample session record.</t>
  </si>
  <si>
    <t xml:space="preserve">AI-IAM-008</t>
  </si>
  <si>
    <t xml:space="preserve">Downstream Authorisation</t>
  </si>
  <si>
    <t xml:space="preserve">Authorisation for data retrieval and tool actions is enforced at the data or API layer against the end principal's entitlements, and is not delegated to the model's judgement.</t>
  </si>
  <si>
    <t xml:space="preserve">LLM06, LLM08</t>
  </si>
  <si>
    <t xml:space="preserve">T2, T3</t>
  </si>
  <si>
    <t xml:space="preserve">Architecture showing the enforcement point plus a test proving an unauthorised request is denied.</t>
  </si>
  <si>
    <t xml:space="preserve">AI-IAM-009</t>
  </si>
  <si>
    <t xml:space="preserve">Session Management</t>
  </si>
  <si>
    <t xml:space="preserve">Sessions are uniquely identified, time-limited, invalidated on logout, and require re-authentication before high-impact actions.</t>
  </si>
  <si>
    <t xml:space="preserve">Session configuration values and step-up authentication evidence.</t>
  </si>
  <si>
    <t xml:space="preserve">AI-IAM-010</t>
  </si>
  <si>
    <t xml:space="preserve">Tenant Isolation</t>
  </si>
  <si>
    <t xml:space="preserve">In multi-tenant AI services, logical or physical isolation of tenant data, models, embeddings, fine-tunes and logs is evidenced by the provider.</t>
  </si>
  <si>
    <t xml:space="preserve">A.10.3, A.4.5</t>
  </si>
  <si>
    <t xml:space="preserve">Provider isolation architecture description and independent test or audit coverage.</t>
  </si>
  <si>
    <t xml:space="preserve">AI-PLT-001</t>
  </si>
  <si>
    <t xml:space="preserve">Hardened Baseline</t>
  </si>
  <si>
    <t xml:space="preserve">Hosts, containers, orchestrators and inference servers supporting the AI system are built to a hardened baseline with documented deviations.</t>
  </si>
  <si>
    <t xml:space="preserve">Benchmark compliance report with exceptions and their approvals.</t>
  </si>
  <si>
    <t xml:space="preserve">AI-PLT-002</t>
  </si>
  <si>
    <t xml:space="preserve">Network Segmentation</t>
  </si>
  <si>
    <t xml:space="preserve">AI workloads, data stores and management planes are segmented from the general enterprise network, with default-deny egress filtering and explicit allowlists for model and tool endpoints.</t>
  </si>
  <si>
    <t xml:space="preserve">Network architecture diagram with firewall and egress rule extracts.</t>
  </si>
  <si>
    <t xml:space="preserve">AI-PLT-003</t>
  </si>
  <si>
    <t xml:space="preserve">Private Connectivity</t>
  </si>
  <si>
    <t xml:space="preserve">Private connectivity (private endpoint, VPC peering or equivalent) is used for model, storage and data services, avoiding traversal of the public internet where the capability exists.</t>
  </si>
  <si>
    <t xml:space="preserve">Private endpoint configuration and confirmation that public network access is disabled.</t>
  </si>
  <si>
    <t xml:space="preserve">AI-PLT-004</t>
  </si>
  <si>
    <t xml:space="preserve">API Gateway &amp; WAF</t>
  </si>
  <si>
    <t xml:space="preserve">AI application and API endpoints are fronted by an API gateway and web application firewall with request inspection, authentication enforcement and abuse protections.</t>
  </si>
  <si>
    <t xml:space="preserve">Gateway and WAF policy configuration with rule sets in blocking mode.</t>
  </si>
  <si>
    <t xml:space="preserve">AI-PLT-005</t>
  </si>
  <si>
    <t xml:space="preserve">DDoS Protection</t>
  </si>
  <si>
    <t xml:space="preserve">Internet-facing AI endpoints are protected against volumetric and application-layer denial of service, with traffic shaping and automatic mitigation.</t>
  </si>
  <si>
    <t xml:space="preserve">DDoS protection configuration and coverage confirmation.</t>
  </si>
  <si>
    <t xml:space="preserve">AI-PLT-006</t>
  </si>
  <si>
    <t xml:space="preserve">Vulnerability Management</t>
  </si>
  <si>
    <t xml:space="preserve">The AI stack, including operating systems, GPU drivers, ML frameworks, orchestration and notebook environments, is scanned and patched to defined SLAs by severity.</t>
  </si>
  <si>
    <t xml:space="preserve">Recent scan report with open findings, severity and SLA status.</t>
  </si>
  <si>
    <t xml:space="preserve">AI-PLT-007</t>
  </si>
  <si>
    <t xml:space="preserve">Image Security</t>
  </si>
  <si>
    <t xml:space="preserve">Container images used for inference, agents and pipelines are built from approved bases, scanned for vulnerabilities, signed, and admission-controlled at deployment.</t>
  </si>
  <si>
    <t xml:space="preserve">Image scanning and signing pipeline configuration plus admission policy.</t>
  </si>
  <si>
    <t xml:space="preserve">AI-PLT-008</t>
  </si>
  <si>
    <t xml:space="preserve">Experimentation Environment</t>
  </si>
  <si>
    <t xml:space="preserve">Notebook and experimentation environments enforce access control, restricted egress, no production data by default, and no persistence of credentials.</t>
  </si>
  <si>
    <t xml:space="preserve">A.4.5, A.6.2.3</t>
  </si>
  <si>
    <t xml:space="preserve">Environment policy configuration and evidence of data access restrictions.</t>
  </si>
  <si>
    <t xml:space="preserve">AI-PLT-009</t>
  </si>
  <si>
    <t xml:space="preserve">Key Management</t>
  </si>
  <si>
    <t xml:space="preserve">Cryptographic keys are managed in an HSM-backed key management service with documented custody, rotation and separation of duties; customer-managed or hold-your-own-key is implemented where mandated.</t>
  </si>
  <si>
    <t xml:space="preserve">Key management configuration showing key ownership, rotation period and access policy.</t>
  </si>
  <si>
    <t xml:space="preserve">AI-PLT-010</t>
  </si>
  <si>
    <t xml:space="preserve">Backup &amp; Recovery</t>
  </si>
  <si>
    <t xml:space="preserve">Model artefacts, prompts, configuration, vector indexes and supporting data are backed up, protected against tampering, and restore is tested to a defined frequency.</t>
  </si>
  <si>
    <t xml:space="preserve">MANAGE 2.4</t>
  </si>
  <si>
    <t xml:space="preserve">Backup configuration and most recent successful restore test record.</t>
  </si>
  <si>
    <t xml:space="preserve">AI-PLT-011</t>
  </si>
  <si>
    <t xml:space="preserve">Availability &amp; Resilience</t>
  </si>
  <si>
    <t xml:space="preserve">RTO and RPO are defined for the AI service and its dependencies, and the architecture supports them including provider outage scenarios.</t>
  </si>
  <si>
    <t xml:space="preserve">MANAGE 2.4, MANAGE 3.1</t>
  </si>
  <si>
    <t xml:space="preserve">Documented RTO/RPO with supporting architecture and any tested failover evidence.</t>
  </si>
  <si>
    <t xml:space="preserve">AI-PLT-012</t>
  </si>
  <si>
    <t xml:space="preserve">Compute Isolation</t>
  </si>
  <si>
    <t xml:space="preserve">GPU and accelerator resources are isolated between tenants and workloads, with memory cleared between sessions and no residual state carried across users.</t>
  </si>
  <si>
    <t xml:space="preserve">IaaS/AIaaS</t>
  </si>
  <si>
    <t xml:space="preserve">Provider or platform documentation on accelerator isolation and memory sanitisation.</t>
  </si>
  <si>
    <t xml:space="preserve">AI-MON-001</t>
  </si>
  <si>
    <t xml:space="preserve">Lifecycle Event Logging</t>
  </si>
  <si>
    <t xml:space="preserve">Automatic event logging is enabled across the AI system lifecycle, capturing events sufficient to identify risk situations and support post-market monitoring, retained per policy and regulatory minimum.</t>
  </si>
  <si>
    <t xml:space="preserve">Logging configuration showing event types captured and retention period.</t>
  </si>
  <si>
    <t xml:space="preserve">AI-MON-002</t>
  </si>
  <si>
    <t xml:space="preserve">Prompt &amp; Output Logging</t>
  </si>
  <si>
    <t xml:space="preserve">Prompts, retrieved context references, model outputs and moderation decisions are logged with sensitive data masked, retained per policy, and access to them is restricted and itself logged.</t>
  </si>
  <si>
    <t xml:space="preserve">A.6.2.8, A.7.6</t>
  </si>
  <si>
    <t xml:space="preserve">MEASURE 2.6</t>
  </si>
  <si>
    <t xml:space="preserve">Redacted sample log entries and the access control model for the log store.</t>
  </si>
  <si>
    <t xml:space="preserve">AI-MON-003</t>
  </si>
  <si>
    <t xml:space="preserve">SIEM Integration</t>
  </si>
  <si>
    <t xml:space="preserve">AI system logs are forwarded to the SIEM with AI-specific detection use cases, including injection attempts, guardrail bypass, anomalous tool invocation, mass retrieval and credential misuse.</t>
  </si>
  <si>
    <t xml:space="preserve">Art. 12, Art. 72</t>
  </si>
  <si>
    <t xml:space="preserve">T2, T8</t>
  </si>
  <si>
    <t xml:space="preserve">Log source onboarding evidence and the list of deployed AI detection rules.</t>
  </si>
  <si>
    <t xml:space="preserve">AI-MON-004</t>
  </si>
  <si>
    <t xml:space="preserve">Log Integrity</t>
  </si>
  <si>
    <t xml:space="preserve">Logs are tamper-evident or write-once, time-synchronised to a trusted source, and retained in a manner that supports non-repudiation and forensic reconstruction.</t>
  </si>
  <si>
    <t xml:space="preserve">Immutability and time synchronisation configuration evidence.</t>
  </si>
  <si>
    <t xml:space="preserve">AI-MON-005</t>
  </si>
  <si>
    <t xml:space="preserve">Drift Monitoring</t>
  </si>
  <si>
    <t xml:space="preserve">Model performance, data drift, concept drift and output quality are monitored against release baselines, with thresholds and defined action on breach.</t>
  </si>
  <si>
    <t xml:space="preserve">MEASURE 2.4, MANAGE 4.1</t>
  </si>
  <si>
    <t xml:space="preserve">Art. 15(2), Art. 72</t>
  </si>
  <si>
    <t xml:space="preserve">Monitoring metrics, thresholds and evidence of alerting on breach.</t>
  </si>
  <si>
    <t xml:space="preserve">AI-MON-006</t>
  </si>
  <si>
    <t xml:space="preserve">Abuse Detection</t>
  </si>
  <si>
    <t xml:space="preserve">End-user misuse of the AI system is detected and responded to under a defined playbook, including repeated jailbreak attempts and attempts to extract training data or system instructions.</t>
  </si>
  <si>
    <t xml:space="preserve">A.6.2.6, A.9.2</t>
  </si>
  <si>
    <t xml:space="preserve">Art. 26(5)</t>
  </si>
  <si>
    <t xml:space="preserve">LLM01, LLM07</t>
  </si>
  <si>
    <t xml:space="preserve">T15</t>
  </si>
  <si>
    <t xml:space="preserve">Detection rules and the associated user misuse response playbook.</t>
  </si>
  <si>
    <t xml:space="preserve">AI-MON-007</t>
  </si>
  <si>
    <t xml:space="preserve">Cost Anomaly Detection</t>
  </si>
  <si>
    <t xml:space="preserve">Anomalous consumption and cost patterns are alerted on with automatic throttling or suspension thresholds to contain runaway usage.</t>
  </si>
  <si>
    <t xml:space="preserve">MEASURE 2.6, MANAGE 2.2</t>
  </si>
  <si>
    <t xml:space="preserve">Cost alerting and automatic throttling configuration.</t>
  </si>
  <si>
    <t xml:space="preserve">AI-MON-008</t>
  </si>
  <si>
    <t xml:space="preserve">User Feedback Loop</t>
  </si>
  <si>
    <t xml:space="preserve">A mechanism exists for users to report incorrect, harmful or unexpected AI output, and reports are triaged into the risk and incident processes.</t>
  </si>
  <si>
    <t xml:space="preserve">A.8.3, A.8.5</t>
  </si>
  <si>
    <t xml:space="preserve">MANAGE 4.1, MEASURE 3.3</t>
  </si>
  <si>
    <t xml:space="preserve">Art. 26(5), Art. 72</t>
  </si>
  <si>
    <t xml:space="preserve">Feedback mechanism evidence and triage workflow with sample handled reports.</t>
  </si>
  <si>
    <t xml:space="preserve">AI-MON-009</t>
  </si>
  <si>
    <t xml:space="preserve">Post-Market Monitoring</t>
  </si>
  <si>
    <t xml:space="preserve">A post-market monitoring plan is documented and operating, systematically collecting and analysing performance and incident data throughout the system's lifetime.</t>
  </si>
  <si>
    <t xml:space="preserve">Post-market monitoring plan and most recent monitoring report.</t>
  </si>
  <si>
    <t xml:space="preserve">AI-MON-010</t>
  </si>
  <si>
    <t xml:space="preserve">Detection Validation</t>
  </si>
  <si>
    <t xml:space="preserve">Detection and alerting coverage is validated by injecting known-bad events (e.g. simulated injection payloads, unauthorised tool calls) and confirming alerts fire and are actioned.</t>
  </si>
  <si>
    <t xml:space="preserve">MEASURE 1.1, MEASURE 2.6</t>
  </si>
  <si>
    <t xml:space="preserve">Detection validation test results with alert evidence and response times.</t>
  </si>
  <si>
    <t xml:space="preserve">AI-MON-011</t>
  </si>
  <si>
    <t xml:space="preserve">Automated Containment</t>
  </si>
  <si>
    <t xml:space="preserve">An automated containment capability exists for AI security events, able to disable an agent, revoke a credential, block a user or session, throttle a tenant or roll back to a previous model version without waiting for a manual change window.</t>
  </si>
  <si>
    <t xml:space="preserve">Automated response playbooks naming the trigger, the action taken and the approval model, plus evidence of a successful execution in test.</t>
  </si>
  <si>
    <t xml:space="preserve">AI-MON-012</t>
  </si>
  <si>
    <t xml:space="preserve">AI Threat Intelligence</t>
  </si>
  <si>
    <t xml:space="preserve">AI-specific threat intelligence is consumed and acted upon, with guardrails, detection rules and adversarial test payload sets refreshed as new attack techniques against models, agents and AI supply chains emerge.</t>
  </si>
  <si>
    <t xml:space="preserve">MEASURE 2.7, MANAGE 4.1</t>
  </si>
  <si>
    <t xml:space="preserve">LLM01, LLM03</t>
  </si>
  <si>
    <t xml:space="preserve">Threat intelligence sources used, the review cadence, and evidence of at least one defence or detection update driven by new intelligence.</t>
  </si>
  <si>
    <t xml:space="preserve">AI-TRN-001</t>
  </si>
  <si>
    <t xml:space="preserve">AI Disclosure</t>
  </si>
  <si>
    <t xml:space="preserve">Users are clearly and unambiguously informed that they are interacting with an AI system, at the point of interaction and in a manner appropriate to the audience.</t>
  </si>
  <si>
    <t xml:space="preserve">A.8.2</t>
  </si>
  <si>
    <t xml:space="preserve">GOVERN 5.1, MAP 3.5</t>
  </si>
  <si>
    <t xml:space="preserve">Art. 50(1)</t>
  </si>
  <si>
    <t xml:space="preserve">Screenshot/Demo</t>
  </si>
  <si>
    <t xml:space="preserve">Screenshot or wording of the AI disclosure shown to users.</t>
  </si>
  <si>
    <t xml:space="preserve">AI-TRN-002</t>
  </si>
  <si>
    <t xml:space="preserve">Content Marking</t>
  </si>
  <si>
    <t xml:space="preserve">AI-generated or AI-manipulated content is marked in a machine-readable format enabling detection of artificial generation, where applicable to the use case.</t>
  </si>
  <si>
    <t xml:space="preserve">MANAGE 2.3</t>
  </si>
  <si>
    <t xml:space="preserve">Art. 50(2)</t>
  </si>
  <si>
    <t xml:space="preserve">Description of the watermarking or provenance metadata applied and how it can be verified.</t>
  </si>
  <si>
    <t xml:space="preserve">AI-TRN-003</t>
  </si>
  <si>
    <t xml:space="preserve">Synthetic Media Disclosure</t>
  </si>
  <si>
    <t xml:space="preserve">[EU market only] Where the system generates or manipulates image, audio or video content resembling real persons, places or events, this is disclosed to recipients.</t>
  </si>
  <si>
    <t xml:space="preserve">GOVERN 5.1</t>
  </si>
  <si>
    <t xml:space="preserve">Art. 50(4)</t>
  </si>
  <si>
    <t xml:space="preserve">Evidence of the disclosure presented with generated media.</t>
  </si>
  <si>
    <t xml:space="preserve">AI-TRN-004</t>
  </si>
  <si>
    <t xml:space="preserve">Instructions for Use</t>
  </si>
  <si>
    <t xml:space="preserve">Documentation is provided to deployers and operators covering intended purpose, capabilities, accuracy levels, limitations, conditions of use, required human oversight and maintenance needs.</t>
  </si>
  <si>
    <t xml:space="preserve">A.8.2, A.6.2.7</t>
  </si>
  <si>
    <t xml:space="preserve">MAP 3.5, MAP 2.2</t>
  </si>
  <si>
    <t xml:space="preserve">Instructions-for-use document supplied with the system.</t>
  </si>
  <si>
    <t xml:space="preserve">AI-TRN-005</t>
  </si>
  <si>
    <t xml:space="preserve">Human Oversight Design</t>
  </si>
  <si>
    <t xml:space="preserve">The system is designed to be effectively overseen by humans, who can understand its output, monitor its operation, disregard or override a result, and halt the system.</t>
  </si>
  <si>
    <t xml:space="preserve">Design documentation of oversight mechanisms including override and stop controls.</t>
  </si>
  <si>
    <t xml:space="preserve">AI-TRN-006</t>
  </si>
  <si>
    <t xml:space="preserve">Explainability</t>
  </si>
  <si>
    <t xml:space="preserve">Explanation of the system's output is available at a level appropriate to the impact of the decision, sufficient for an affected person or reviewer to understand the main factors involved.</t>
  </si>
  <si>
    <t xml:space="preserve">A.6.2.7, A.8.2</t>
  </si>
  <si>
    <t xml:space="preserve">MEASURE 2.9, MAP 3.5</t>
  </si>
  <si>
    <t xml:space="preserve">Art. 13, Art. 86</t>
  </si>
  <si>
    <t xml:space="preserve">Description of the explanation provided and an example output.</t>
  </si>
  <si>
    <t xml:space="preserve">AI-TRN-007</t>
  </si>
  <si>
    <t xml:space="preserve">Automated Decision Notice</t>
  </si>
  <si>
    <t xml:space="preserve">Where the system contributes to decisions affecting individuals, affected persons are informed and can request human review, in line with applicable law.</t>
  </si>
  <si>
    <t xml:space="preserve">A.8.2, A.8.5</t>
  </si>
  <si>
    <t xml:space="preserve">GOVERN 5.1, MANAGE 2.1</t>
  </si>
  <si>
    <t xml:space="preserve">Art. 26(11), Art. 86</t>
  </si>
  <si>
    <t xml:space="preserve">Notice wording and the documented human review process.</t>
  </si>
  <si>
    <t xml:space="preserve">AI-TRN-008</t>
  </si>
  <si>
    <t xml:space="preserve">Limitations Disclosure</t>
  </si>
  <si>
    <t xml:space="preserve">Known limitations, failure modes, out-of-scope uses and accuracy caveats are communicated to users at the point of use, not only in background documentation.</t>
  </si>
  <si>
    <t xml:space="preserve">A.8.2, A.9.4</t>
  </si>
  <si>
    <t xml:space="preserve">MAP 3.5, MEASURE 2.9</t>
  </si>
  <si>
    <t xml:space="preserve">Art. 13(3)</t>
  </si>
  <si>
    <t xml:space="preserve">T5, T15</t>
  </si>
  <si>
    <t xml:space="preserve">In-product wording or evidence showing limitations communicated to users.</t>
  </si>
  <si>
    <t xml:space="preserve">AI-TRN-009</t>
  </si>
  <si>
    <t xml:space="preserve">Oversight Competence</t>
  </si>
  <si>
    <t xml:space="preserve">Individuals assigned human oversight duties have the necessary competence, authority and support, and are trained on automation bias and on when to override or escalate.</t>
  </si>
  <si>
    <t xml:space="preserve">A.4.6, A.9.2</t>
  </si>
  <si>
    <t xml:space="preserve">GOVERN 3.2, MANAGE 2.1</t>
  </si>
  <si>
    <t xml:space="preserve">Art. 14(4), Art. 26(2)</t>
  </si>
  <si>
    <t xml:space="preserve">Role description and training records for oversight personnel.</t>
  </si>
  <si>
    <t xml:space="preserve">AI-TRN-010</t>
  </si>
  <si>
    <t xml:space="preserve">External Transparency</t>
  </si>
  <si>
    <t xml:space="preserve">Required external transparency obligations are met, including registration, public AI usage notices or regulator-mandated disclosure applicable to the jurisdiction.</t>
  </si>
  <si>
    <t xml:space="preserve">GOVERN 4.2, GOVERN 5.1</t>
  </si>
  <si>
    <t xml:space="preserve">Art. 49, Art. 50</t>
  </si>
  <si>
    <t xml:space="preserve">Evidence of registration or published transparency notice.</t>
  </si>
  <si>
    <t xml:space="preserve">AI-IRC-001</t>
  </si>
  <si>
    <t xml:space="preserve">AI Incident Playbooks</t>
  </si>
  <si>
    <t xml:space="preserve">Incident response playbooks exist for AI-specific scenarios, including prompt injection compromise, data leakage through outputs, model or weights compromise, poisoned retrieval corpus and agent acting out of scope.</t>
  </si>
  <si>
    <t xml:space="preserve">A.8.4</t>
  </si>
  <si>
    <t xml:space="preserve">MANAGE 4.3, MANAGE 2.4</t>
  </si>
  <si>
    <t xml:space="preserve">T6, T13</t>
  </si>
  <si>
    <t xml:space="preserve">AI incident playbooks with roles, triggers, containment steps and communication paths.</t>
  </si>
  <si>
    <t xml:space="preserve">AI-IRC-002</t>
  </si>
  <si>
    <t xml:space="preserve">Incident Classification</t>
  </si>
  <si>
    <t xml:space="preserve">The incident classification scheme includes AI-specific harm categories such as biased or discriminatory outcome, harmful hallucination, unsafe recommendation and loss of human control.</t>
  </si>
  <si>
    <t xml:space="preserve">MANAGE 4.3, MEASURE 3.1</t>
  </si>
  <si>
    <t xml:space="preserve">Art. 73(1)</t>
  </si>
  <si>
    <t xml:space="preserve">Incident taxonomy showing AI harm categories and severity criteria.</t>
  </si>
  <si>
    <t xml:space="preserve">AI-IRC-003</t>
  </si>
  <si>
    <t xml:space="preserve">Regulatory Notification</t>
  </si>
  <si>
    <t xml:space="preserve">Serious incidents and malfunctions are reported to the relevant authorities and, where applicable, the provider, within the statutory timelines.</t>
  </si>
  <si>
    <t xml:space="preserve">Notification procedure identifying the authority, trigger criteria and timeline.</t>
  </si>
  <si>
    <t xml:space="preserve">AI-IRC-004</t>
  </si>
  <si>
    <t xml:space="preserve">Provider Notification SLA</t>
  </si>
  <si>
    <t xml:space="preserve">The AI provider is contractually required to notify the organisation of security incidents, data breaches and model malfunctions affecting the service within a defined timeframe.</t>
  </si>
  <si>
    <t xml:space="preserve">A.10.3, A.8.4</t>
  </si>
  <si>
    <t xml:space="preserve">MANAGE 4.3, GOVERN 6.2</t>
  </si>
  <si>
    <t xml:space="preserve">Contract clause specifying notification content and timeline.</t>
  </si>
  <si>
    <t xml:space="preserve">AI-IRC-005</t>
  </si>
  <si>
    <t xml:space="preserve">Rollback &amp; Fallback</t>
  </si>
  <si>
    <t xml:space="preserve">The system can be rolled back to a previous known-good model, prompt and guardrail configuration, or failed over to a non-AI process, without unacceptable business disruption.</t>
  </si>
  <si>
    <t xml:space="preserve">Rollback procedure and evidence of a successful rollback or failover test.</t>
  </si>
  <si>
    <t xml:space="preserve">AI-IRC-006</t>
  </si>
  <si>
    <t xml:space="preserve">Corrective Action</t>
  </si>
  <si>
    <t xml:space="preserve">A process exists to take corrective action on a non-conforming AI system, including withdrawal, disabling of features or recall, with notification of affected parties.</t>
  </si>
  <si>
    <t xml:space="preserve">MANAGE 4.1, MANAGE 2.4</t>
  </si>
  <si>
    <t xml:space="preserve">Corrective action procedure with decision authority defined.</t>
  </si>
  <si>
    <t xml:space="preserve">AI-IRC-007</t>
  </si>
  <si>
    <t xml:space="preserve">Exercise &amp; Testing</t>
  </si>
  <si>
    <t xml:space="preserve">An AI-specific incident scenario is exercised at a defined frequency with participation from business, security, legal and the AI provider where relevant, and lessons learned are actioned.</t>
  </si>
  <si>
    <t xml:space="preserve">MANAGE 4.3, MEASURE 4.3</t>
  </si>
  <si>
    <t xml:space="preserve">Exercise report with participants, scenario, findings and actions.</t>
  </si>
  <si>
    <t xml:space="preserve">AI-IRC-008</t>
  </si>
  <si>
    <t xml:space="preserve">Forensic Readiness</t>
  </si>
  <si>
    <t xml:space="preserve">Sufficient data is retained and accessible to reconstruct any AI-influenced decision after the fact, including model version, prompt, retrieved context, output, tools invoked and human approvals.</t>
  </si>
  <si>
    <t xml:space="preserve">Evidence that a complete decision trail can be reconstructed for a sample transaction.</t>
  </si>
  <si>
    <t xml:space="preserve">AI-OPS-001</t>
  </si>
  <si>
    <t xml:space="preserve">Change Management</t>
  </si>
  <si>
    <t xml:space="preserve">Changes to models, prompts, guardrails, tools, retrieval corpora, agents and configuration are managed under formal change control with security assessment of the change.</t>
  </si>
  <si>
    <t xml:space="preserve">Change management procedure covering AI-specific change types plus sample change records.</t>
  </si>
  <si>
    <t xml:space="preserve">AI-OPS-002</t>
  </si>
  <si>
    <t xml:space="preserve">Configuration Version Control</t>
  </si>
  <si>
    <t xml:space="preserve">Prompts, guardrail rules, tool definitions and orchestration configuration are held in version control with peer review and an auditable change history.</t>
  </si>
  <si>
    <t xml:space="preserve">Repository evidence showing versioned prompts and configuration with review history.</t>
  </si>
  <si>
    <t xml:space="preserve">AI-OPS-003</t>
  </si>
  <si>
    <t xml:space="preserve">Environment Separation</t>
  </si>
  <si>
    <t xml:space="preserve">Development, test and production environments are separated, with no production data used in lower environments unless anonymised and approved.</t>
  </si>
  <si>
    <t xml:space="preserve">Environment topology and evidence of data handling controls between environments.</t>
  </si>
  <si>
    <t xml:space="preserve">AI-OPS-004</t>
  </si>
  <si>
    <t xml:space="preserve">Pre-Production Testing Gate</t>
  </si>
  <si>
    <t xml:space="preserve">Application penetration testing and AI-specific security testing are completed before production release, with all high and critical findings closed or formally risk-accepted.</t>
  </si>
  <si>
    <t xml:space="preserve">MEASURE 2.7, MANAGE 1.4</t>
  </si>
  <si>
    <t xml:space="preserve">T2, T11</t>
  </si>
  <si>
    <t xml:space="preserve">Test reports with finding closure evidence or approved risk acceptance.</t>
  </si>
  <si>
    <t xml:space="preserve">AI-OPS-005</t>
  </si>
  <si>
    <t xml:space="preserve">Release Approval</t>
  </si>
  <si>
    <t xml:space="preserve">Production release is approved by the accountable business owner and by security, with the approval recorded and traceable to the tested version.</t>
  </si>
  <si>
    <t xml:space="preserve">Art. 43</t>
  </si>
  <si>
    <t xml:space="preserve">Signed release approval record referencing the build or model version.</t>
  </si>
  <si>
    <t xml:space="preserve">AI-OPS-006</t>
  </si>
  <si>
    <t xml:space="preserve">Operational Runbooks</t>
  </si>
  <si>
    <t xml:space="preserve">Runbooks define operational ownership, monitoring responsibilities, escalation contacts and out-of-hours support for the AI system.</t>
  </si>
  <si>
    <t xml:space="preserve">A.4.5, A.4.6</t>
  </si>
  <si>
    <t xml:space="preserve">MANAGE 4.1</t>
  </si>
  <si>
    <t xml:space="preserve">Operational runbook with named support model and escalation matrix.</t>
  </si>
  <si>
    <t xml:space="preserve">AI-OPS-007</t>
  </si>
  <si>
    <t xml:space="preserve">Capacity Management</t>
  </si>
  <si>
    <t xml:space="preserve">Inference capacity, concurrency and quota headroom are managed and monitored so that legitimate demand and burst conditions do not cause degradation or unbounded cost.</t>
  </si>
  <si>
    <t xml:space="preserve">Capacity plan and utilisation monitoring evidence.</t>
  </si>
  <si>
    <t xml:space="preserve">AI-OPS-008</t>
  </si>
  <si>
    <t xml:space="preserve">Periodic Recertification</t>
  </si>
  <si>
    <t xml:space="preserve">The AI system is reassessed against this requirements matrix at least annually or on material change, and continued authorisation to operate is formally recorded.</t>
  </si>
  <si>
    <t xml:space="preserve">A.2.4, A.6.2.6</t>
  </si>
  <si>
    <t xml:space="preserve">Most recent recertification record with scope, findings and authorisation decision.</t>
  </si>
  <si>
    <t xml:space="preserve">AI-LEG-001</t>
  </si>
  <si>
    <t xml:space="preserve">Regulatory Applicability</t>
  </si>
  <si>
    <t xml:space="preserve">Applicable AI, data protection and sector regulations are identified for every jurisdiction where the system is developed, deployed, or where its outputs affect individuals, and obligations are mapped to owners.</t>
  </si>
  <si>
    <t xml:space="preserve">A.2.3</t>
  </si>
  <si>
    <t xml:space="preserve">GOVERN 1.1, MAP 1.1</t>
  </si>
  <si>
    <t xml:space="preserve">Art. 2, Art. 6</t>
  </si>
  <si>
    <t xml:space="preserve">Regulatory applicability assessment with obligation-to-control mapping.</t>
  </si>
  <si>
    <t xml:space="preserve">AI-LEG-002</t>
  </si>
  <si>
    <t xml:space="preserve">Conformity Assessment</t>
  </si>
  <si>
    <t xml:space="preserve">[EU market only] Where the system is high-risk, the applicable conformity assessment procedure is completed and an EU declaration of conformity is drawn up and signed.</t>
  </si>
  <si>
    <t xml:space="preserve">MEASURE 3.3, MANAGE 1.4</t>
  </si>
  <si>
    <t xml:space="preserve">Art. 43, Art. 47</t>
  </si>
  <si>
    <t xml:space="preserve">Conformity assessment output and signed declaration of conformity.</t>
  </si>
  <si>
    <t xml:space="preserve">AI-LEG-003</t>
  </si>
  <si>
    <t xml:space="preserve">Registration</t>
  </si>
  <si>
    <t xml:space="preserve">[EU market only] High-risk AI systems and, where applicable, their deployers are registered in the required database before placing on the market or putting into service.</t>
  </si>
  <si>
    <t xml:space="preserve">A.8.3</t>
  </si>
  <si>
    <t xml:space="preserve">GOVERN 4.2</t>
  </si>
  <si>
    <t xml:space="preserve">Registration confirmation or reference number.</t>
  </si>
  <si>
    <t xml:space="preserve">AI-LEG-004</t>
  </si>
  <si>
    <t xml:space="preserve">Technical Documentation Retention</t>
  </si>
  <si>
    <t xml:space="preserve">Technical documentation, quality management records, logs and conformity evidence are retained for the statutory period and remain available to authorities on request.</t>
  </si>
  <si>
    <t xml:space="preserve">A.6.2.7</t>
  </si>
  <si>
    <t xml:space="preserve">GOVERN 1.6, MEASURE 2.8</t>
  </si>
  <si>
    <t xml:space="preserve">Art. 11, Art. 18, Art. 19</t>
  </si>
  <si>
    <t xml:space="preserve">Retention schedule for AI documentation and evidence of the retained document set.</t>
  </si>
  <si>
    <t xml:space="preserve">AI-LEG-005</t>
  </si>
  <si>
    <t xml:space="preserve">Sector Requirements</t>
  </si>
  <si>
    <t xml:space="preserve">Sector-specific regulatory or supervisory requirements applicable to the organisation (for example financial services, healthcare, critical infrastructure or national/local cyber regulation) are identified and addressed.</t>
  </si>
  <si>
    <t xml:space="preserve">Art. 2</t>
  </si>
  <si>
    <t xml:space="preserve">Mapping of sector regulatory requirements to implemented controls.</t>
  </si>
  <si>
    <t xml:space="preserve">AI-LEG-006</t>
  </si>
  <si>
    <t xml:space="preserve">Copyright &amp; IP Exposure</t>
  </si>
  <si>
    <t xml:space="preserve">The risk of infringing copyright or other IP through training data or generated output is assessed, including the provider's training data policy and any indemnity offered.</t>
  </si>
  <si>
    <t xml:space="preserve">IP risk assessment and any contractual indemnity clause.</t>
  </si>
  <si>
    <t xml:space="preserve">AI-LEG-007</t>
  </si>
  <si>
    <t xml:space="preserve">Records of Processing</t>
  </si>
  <si>
    <t xml:space="preserve">Controller and processor roles are determined and documented, and records of processing activities are updated to reflect the AI system's processing.</t>
  </si>
  <si>
    <t xml:space="preserve">GOVERN 1.1, MAP 4.1</t>
  </si>
  <si>
    <t xml:space="preserve">Art. 26</t>
  </si>
  <si>
    <t xml:space="preserve">Updated record of processing activities entry.</t>
  </si>
  <si>
    <t xml:space="preserve">AI-LEG-008</t>
  </si>
  <si>
    <t xml:space="preserve">Audit Rights</t>
  </si>
  <si>
    <t xml:space="preserve">The organisation retains and, for high risk tiers, exercises rights to audit or obtain assurance over the provider's AI controls during the contract term.</t>
  </si>
  <si>
    <t xml:space="preserve">GOVERN 6.2, MEASURE 3.3</t>
  </si>
  <si>
    <t xml:space="preserve">Audit rights clause plus evidence of assurance obtained in the current period.</t>
  </si>
  <si>
    <t xml:space="preserve">Optional. Additional requirements for an entity under UAE federal or Dubai Government rules. Delete this sheet if they do not apply to you. References are domain-level or thematic: see README.</t>
  </si>
  <si>
    <t xml:space="preserve">UAE CSC AI Policy (domain)</t>
  </si>
  <si>
    <t xml:space="preserve">DESC ISR (domain)</t>
  </si>
  <si>
    <t xml:space="preserve">Dubai AI Security Policy (theme)</t>
  </si>
  <si>
    <t xml:space="preserve">UAE PDPL / Dubai Data Law</t>
  </si>
  <si>
    <t xml:space="preserve">AI-LOC-001</t>
  </si>
  <si>
    <t xml:space="preserve">UAE &amp; Dubai Regulatory Requirements</t>
  </si>
  <si>
    <t xml:space="preserve">ISR Scope &amp; Compliance</t>
  </si>
  <si>
    <t xml:space="preserve">The AI system, its hosting arrangement and its supporting services are confirmed to be within the entity's DESC Information Security Regulation scope, and the entity's current ISR compliance status is evidenced as covering this system.</t>
  </si>
  <si>
    <t xml:space="preserve">CSC: Governance</t>
  </si>
  <si>
    <t xml:space="preserve">D1, D11</t>
  </si>
  <si>
    <t xml:space="preserve">AISP: AI Governance</t>
  </si>
  <si>
    <t xml:space="preserve">ISR scope statement covering this system plus the entity's most recent ISR compliance/audit outcome.</t>
  </si>
  <si>
    <t xml:space="preserve">AI-LOC-002</t>
  </si>
  <si>
    <t xml:space="preserve">Information Classification</t>
  </si>
  <si>
    <t xml:space="preserve">Dubai Government information processed by the AI system is classified under the Dubai Government information classification scheme, and the handling requirements for each classification level are enforced across prompts, retrieval corpora, outputs, agent memory and logs.</t>
  </si>
  <si>
    <t xml:space="preserve">A.7.2</t>
  </si>
  <si>
    <t xml:space="preserve">MAP 2.1</t>
  </si>
  <si>
    <t xml:space="preserve">D2</t>
  </si>
  <si>
    <t xml:space="preserve">AISP: AI Data Security</t>
  </si>
  <si>
    <t xml:space="preserve">Dubai Data Law (26/2015)</t>
  </si>
  <si>
    <t xml:space="preserve">Classification of each data set consumed or produced by the system, with the handling controls applied per level.</t>
  </si>
  <si>
    <t xml:space="preserve">AI-LOC-003</t>
  </si>
  <si>
    <t xml:space="preserve">Data Sovereignty</t>
  </si>
  <si>
    <t xml:space="preserve">Government data is stored and processed within the UAE in facilities and services approved for the applicable classification; no government data leaves the approved jurisdiction for model inference, fine-tuning, telemetry, abuse monitoring or vendor support.</t>
  </si>
  <si>
    <t xml:space="preserve">GOVERN 6.1, MANAGE 2.2</t>
  </si>
  <si>
    <t xml:space="preserve">LLM02, LLM03</t>
  </si>
  <si>
    <t xml:space="preserve">D13, D6</t>
  </si>
  <si>
    <t xml:space="preserve">PDPL Art. 22, 23 (where in scope)</t>
  </si>
  <si>
    <t xml:space="preserve">Region configuration for every service in the data path, plus written confirmation that support, telemetry and trust-and-safety review do not egress data.</t>
  </si>
  <si>
    <t xml:space="preserve">AI-LOC-004</t>
  </si>
  <si>
    <t xml:space="preserve">DESC CSP Certification</t>
  </si>
  <si>
    <t xml:space="preserve">Any cloud service provider hosting or processing Dubai Government data for this AI system holds current DESC Cloud Service Provider certification at the level appropriate to the data classification.</t>
  </si>
  <si>
    <t xml:space="preserve">D13, D8</t>
  </si>
  <si>
    <t xml:space="preserve">AISP: AI Third-Party Security</t>
  </si>
  <si>
    <t xml:space="preserve">DESC CSP certificate with scope and validity dates, covering the specific service and region in use.</t>
  </si>
  <si>
    <t xml:space="preserve">AI-LOC-005</t>
  </si>
  <si>
    <t xml:space="preserve">External Party Requirements</t>
  </si>
  <si>
    <t xml:space="preserve">Vendors, managed service providers and integrators supporting the AI system meet the ISR minimum security and compliance requirements for external parties and managed services, evidenced before onboarding and monitored for the duration of the engagement.</t>
  </si>
  <si>
    <t xml:space="preserve">GOVERN 6.1, MANAGE 3.1</t>
  </si>
  <si>
    <t xml:space="preserve">D8, D11</t>
  </si>
  <si>
    <t xml:space="preserve">PDPL Art. 8 (where in scope)</t>
  </si>
  <si>
    <t xml:space="preserve">Signed external party security requirements, evidence of pre-onboarding assessment, and the ongoing monitoring arrangement.</t>
  </si>
  <si>
    <t xml:space="preserve">AI-LOC-006</t>
  </si>
  <si>
    <t xml:space="preserve">Registration &amp; Notification</t>
  </si>
  <si>
    <t xml:space="preserve">The AI system is registered with the entity's information security function and, where required, notified to DESC prior to deployment, in line with the Dubai AI Security Policy and the entity's internal approval route.</t>
  </si>
  <si>
    <t xml:space="preserve">GOVERN 1.5, MAP 1.1</t>
  </si>
  <si>
    <t xml:space="preserve">Internal registration record and, where applicable, evidence of notification to or approval by DESC.</t>
  </si>
  <si>
    <t xml:space="preserve">AI-LOC-007</t>
  </si>
  <si>
    <t xml:space="preserve">Regulatory Incident Reporting</t>
  </si>
  <si>
    <t xml:space="preserve">Cyber incidents affecting the AI system are reported to DESC and to the applicable national CERT within the mandated timeline and format, in addition to internal incident handling and any contractual notifications.</t>
  </si>
  <si>
    <t xml:space="preserve">D4</t>
  </si>
  <si>
    <t xml:space="preserve">AISP: AI Incident Response</t>
  </si>
  <si>
    <t xml:space="preserve">PDPL Art. 9 (where in scope)</t>
  </si>
  <si>
    <t xml:space="preserve">Reporting procedure naming the recipient authority, trigger criteria, timeline and template, plus evidence of a test or actual notification.</t>
  </si>
  <si>
    <t xml:space="preserve">AI-LOC-008</t>
  </si>
  <si>
    <t xml:space="preserve">SOC Coverage</t>
  </si>
  <si>
    <t xml:space="preserve">The AI system is within the scope of the entity's continuous security monitoring arrangement, with AI-specific telemetry (prompts, tool calls, guardrail events, agent actions) available to the SOC and covered by defined use cases.</t>
  </si>
  <si>
    <t xml:space="preserve">D6, D12</t>
  </si>
  <si>
    <t xml:space="preserve">AISP: AI Monitoring &amp; Logging</t>
  </si>
  <si>
    <t xml:space="preserve">Confirmation the system is onboarded to the SOC, with the AI-specific detection use cases and monitoring coverage hours.</t>
  </si>
  <si>
    <t xml:space="preserve">AI-LOC-009</t>
  </si>
  <si>
    <t xml:space="preserve">Security Testing Cadence</t>
  </si>
  <si>
    <t xml:space="preserve">Vulnerability assessment and penetration testing of the AI system and its supporting infrastructure are performed at the frequency required for its criticality, with findings remediated and retested.</t>
  </si>
  <si>
    <t xml:space="preserve">D12, D8</t>
  </si>
  <si>
    <t xml:space="preserve">AISP: AI Secure Lifecycle</t>
  </si>
  <si>
    <t xml:space="preserve">Testing schedule aligned to system criticality plus the most recent reports with remediation and retest evidence.</t>
  </si>
  <si>
    <t xml:space="preserve">AI-LOC-010</t>
  </si>
  <si>
    <t xml:space="preserve">Cyber Drill Participation</t>
  </si>
  <si>
    <t xml:space="preserve">Where the AI system supports a critical government service, it is included in the scope of the entity's cyber drill and crisis exercise programme, and findings are actioned.</t>
  </si>
  <si>
    <t xml:space="preserve">D4, D7</t>
  </si>
  <si>
    <t xml:space="preserve">Drill scope confirming inclusion of the AI system, with the post-exercise report and action closure.</t>
  </si>
  <si>
    <t xml:space="preserve">AI-LOC-011</t>
  </si>
  <si>
    <t xml:space="preserve">Digital Identity &amp; PKI</t>
  </si>
  <si>
    <t xml:space="preserve">Where the AI system handles government transactions, authenticates citizens or produces signed outputs, it integrates with the mandated national or emirate digital identity and PKI services rather than a proprietary equivalent.</t>
  </si>
  <si>
    <t xml:space="preserve">D5, D6</t>
  </si>
  <si>
    <t xml:space="preserve">AISP: AI Access Control</t>
  </si>
  <si>
    <t xml:space="preserve">Integration design showing the identity and signing services used, and confirmation of approval for any alternative.</t>
  </si>
  <si>
    <t xml:space="preserve">AI-LOC-012</t>
  </si>
  <si>
    <t xml:space="preserve">Non-Production Data Masking</t>
  </si>
  <si>
    <t xml:space="preserve">Live government data is not used for AI development, testing, fine-tuning, demonstration or vendor proof-of-concept; masked, anonymised or synthetic data is used instead unless a formal exception is approved.</t>
  </si>
  <si>
    <t xml:space="preserve">A.7.6, A.6.2.3</t>
  </si>
  <si>
    <t xml:space="preserve">MANAGE 2.2, MAP 4.1</t>
  </si>
  <si>
    <t xml:space="preserve">LLM02, LLM04</t>
  </si>
  <si>
    <t xml:space="preserve">D2, D8</t>
  </si>
  <si>
    <t xml:space="preserve">PDPL Art. 5 (where in scope)</t>
  </si>
  <si>
    <t xml:space="preserve">Masking or anonymisation approach for lower environments, plus any approved exception with its compensating controls.</t>
  </si>
  <si>
    <t xml:space="preserve">AI-LOC-013</t>
  </si>
  <si>
    <t xml:space="preserve">AI Ethics Assessment</t>
  </si>
  <si>
    <t xml:space="preserve">The use case is assessed against the Dubai AI ethics principles (fairness, accountability, transparency, explainability) and the outcome, including any conditions of use, is documented and approved.</t>
  </si>
  <si>
    <t xml:space="preserve">A.5.4, A.5.5</t>
  </si>
  <si>
    <t xml:space="preserve">MAP 1.1, GOVERN 3.2</t>
  </si>
  <si>
    <t xml:space="preserve">D1, D3</t>
  </si>
  <si>
    <t xml:space="preserve">AISP: Responsible &amp; Transparent AI</t>
  </si>
  <si>
    <t xml:space="preserve">Completed AI ethics self-assessment with the approval decision and any imposed conditions.</t>
  </si>
  <si>
    <t xml:space="preserve">AI-LOC-014</t>
  </si>
  <si>
    <t xml:space="preserve">Cryptographic Custody</t>
  </si>
  <si>
    <t xml:space="preserve">Cryptographic controls and key custody for the AI system meet ISR requirements, with keys protecting government data held under the entity's control (customer-managed, BYOK or HYOK) where the classification requires it.</t>
  </si>
  <si>
    <t xml:space="preserve">D6, D13</t>
  </si>
  <si>
    <t xml:space="preserve">PDPL Art. 20 (where in scope)</t>
  </si>
  <si>
    <t xml:space="preserve">Key management design showing key ownership, custody model, rotation and the provider's ability (or inability) to access plaintext.</t>
  </si>
  <si>
    <t xml:space="preserve">AI-LOC-015</t>
  </si>
  <si>
    <t xml:space="preserve">National Policy Applicability</t>
  </si>
  <si>
    <t xml:space="preserve">Applicability of the UAE National Cyber Security Policy for Artificial Intelligence is determined for this system and, where the entity operates critical information infrastructure, the AI/ML controls of the UAE Information Assurance Standard are included; the resulting obligations are mapped to named owners alongside the entity's DESC obligations.</t>
  </si>
  <si>
    <t xml:space="preserve">D11, D1</t>
  </si>
  <si>
    <t xml:space="preserve">Applicability determination covering national and emirate-level instruments, with the obligation-to-owner mapping and any exemptions claimed.</t>
  </si>
  <si>
    <t xml:space="preserve">UAE and Dubai Mapping of the Baseline</t>
  </si>
  <si>
    <t xml:space="preserve">Optional. Where each general requirement on the Baseline sheet aligns with UAE and Dubai instruments. Domain-level or thematic only: see README.</t>
  </si>
  <si>
    <t xml:space="preserve">D1, D10</t>
  </si>
  <si>
    <t xml:space="preserve">CSC: Infrastructure &amp; App Security</t>
  </si>
  <si>
    <t xml:space="preserve">D10</t>
  </si>
  <si>
    <t xml:space="preserve">AISP: AI Awareness &amp; Training</t>
  </si>
  <si>
    <t xml:space="preserve">D3</t>
  </si>
  <si>
    <t xml:space="preserve">AISP: AI Risk Assessment</t>
  </si>
  <si>
    <t xml:space="preserve">PDPL Art. 21</t>
  </si>
  <si>
    <t xml:space="preserve">CSC: Adversarial AI Attacks</t>
  </si>
  <si>
    <t xml:space="preserve">PDPL Art. 5</t>
  </si>
  <si>
    <t xml:space="preserve">D2, D6</t>
  </si>
  <si>
    <t xml:space="preserve">PDPL Art. 7; Dubai Data Law (26/2015)</t>
  </si>
  <si>
    <t xml:space="preserve">PDPL Art. 4, 5, 6</t>
  </si>
  <si>
    <t xml:space="preserve">CSC: Algorithm Security</t>
  </si>
  <si>
    <t xml:space="preserve">PDPL Art. 7</t>
  </si>
  <si>
    <t xml:space="preserve">PDPL Art. 5, 20</t>
  </si>
  <si>
    <t xml:space="preserve">D6</t>
  </si>
  <si>
    <t xml:space="preserve">PDPL Art. 20</t>
  </si>
  <si>
    <t xml:space="preserve">PDPL Art. 5, 8</t>
  </si>
  <si>
    <t xml:space="preserve">D13, D2</t>
  </si>
  <si>
    <t xml:space="preserve">PDPL Art. 22, 23; Dubai Data Law (26/2015)</t>
  </si>
  <si>
    <t xml:space="preserve">PDPL Art. 5, 15</t>
  </si>
  <si>
    <t xml:space="preserve">D2, D11</t>
  </si>
  <si>
    <t xml:space="preserve">PDPL Art. 13-17</t>
  </si>
  <si>
    <t xml:space="preserve">D5, D2</t>
  </si>
  <si>
    <t xml:space="preserve">D8</t>
  </si>
  <si>
    <t xml:space="preserve">AISP: AI Model Security</t>
  </si>
  <si>
    <t xml:space="preserve">D8, D6</t>
  </si>
  <si>
    <t xml:space="preserve">CSC: Operational Safety</t>
  </si>
  <si>
    <t xml:space="preserve">D11, D8</t>
  </si>
  <si>
    <t xml:space="preserve">PDPL Art. 8</t>
  </si>
  <si>
    <t xml:space="preserve">D4, D8</t>
  </si>
  <si>
    <t xml:space="preserve">D7, D8</t>
  </si>
  <si>
    <t xml:space="preserve">AISP: GenAI Secure Use</t>
  </si>
  <si>
    <t xml:space="preserve">CSC: AI Monitoring &amp; Response</t>
  </si>
  <si>
    <t xml:space="preserve">AISP: AI Infrastructure Security</t>
  </si>
  <si>
    <t xml:space="preserve">D6, D8</t>
  </si>
  <si>
    <t xml:space="preserve">D5, D8</t>
  </si>
  <si>
    <t xml:space="preserve">D4, D5</t>
  </si>
  <si>
    <t xml:space="preserve">D5</t>
  </si>
  <si>
    <t xml:space="preserve">D13, D5</t>
  </si>
  <si>
    <t xml:space="preserve">D6, D9</t>
  </si>
  <si>
    <t xml:space="preserve">D7, D6</t>
  </si>
  <si>
    <t xml:space="preserve">D7</t>
  </si>
  <si>
    <t xml:space="preserve">D12</t>
  </si>
  <si>
    <t xml:space="preserve">D4, D6</t>
  </si>
  <si>
    <t xml:space="preserve">D4, D12</t>
  </si>
  <si>
    <t xml:space="preserve">D1, D2</t>
  </si>
  <si>
    <t xml:space="preserve">PDPL Art. 13</t>
  </si>
  <si>
    <t xml:space="preserve">PDPL Art. 18</t>
  </si>
  <si>
    <t xml:space="preserve">PDPL Art. 9</t>
  </si>
  <si>
    <t xml:space="preserve">D4, D11</t>
  </si>
  <si>
    <t xml:space="preserve">D8, D12</t>
  </si>
  <si>
    <t xml:space="preserve">D11, D12</t>
  </si>
  <si>
    <t xml:space="preserve">D11</t>
  </si>
  <si>
    <t xml:space="preserve">PDPL Art. 2</t>
  </si>
  <si>
    <t xml:space="preserve">D11, D2</t>
  </si>
  <si>
    <t xml:space="preserve">YN</t>
  </si>
  <si>
    <t xml:space="preserve">Deployment</t>
  </si>
  <si>
    <t xml:space="preserve">Response</t>
  </si>
  <si>
    <t xml:space="preserve">Review</t>
  </si>
  <si>
    <t xml:space="preserve">EvidenceType</t>
  </si>
  <si>
    <t xml:space="preserve">SaaS</t>
  </si>
  <si>
    <t xml:space="preserve">PaaS</t>
  </si>
  <si>
    <t xml:space="preserve">IaaS</t>
  </si>
  <si>
    <t xml:space="preserve">AIaaS</t>
  </si>
  <si>
    <t xml:space="preserve">On-Prem/Self-Hosted</t>
  </si>
</sst>
</file>

<file path=xl/styles.xml><?xml version="1.0" encoding="utf-8"?>
<styleSheet xmlns="http://schemas.openxmlformats.org/spreadsheetml/2006/main">
  <numFmts count="3">
    <numFmt numFmtId="164" formatCode="General"/>
    <numFmt numFmtId="165" formatCode="General"/>
    <numFmt numFmtId="166" formatCode="0%"/>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i val="true"/>
      <sz val="9"/>
      <color rgb="FF595959"/>
      <name val="Arial"/>
      <family val="0"/>
      <charset val="1"/>
    </font>
    <font>
      <u val="single"/>
      <sz val="10"/>
      <color rgb="FF0563C1"/>
      <name val="Arial"/>
      <family val="0"/>
      <charset val="1"/>
    </font>
    <font>
      <b val="true"/>
      <sz val="10"/>
      <color rgb="FFFFFFFF"/>
      <name val="Arial"/>
      <family val="0"/>
      <charset val="1"/>
    </font>
    <font>
      <b val="true"/>
      <sz val="10"/>
      <color rgb="FF1F3864"/>
      <name val="Arial"/>
      <family val="0"/>
      <charset val="1"/>
    </font>
  </fonts>
  <fills count="15">
    <fill>
      <patternFill patternType="none"/>
    </fill>
    <fill>
      <patternFill patternType="gray125"/>
    </fill>
    <fill>
      <patternFill patternType="solid">
        <fgColor rgb="FFC00000"/>
        <bgColor rgb="FF800000"/>
      </patternFill>
    </fill>
    <fill>
      <patternFill patternType="solid">
        <fgColor rgb="FFFFFFFF"/>
        <bgColor rgb="FFF2F2F2"/>
      </patternFill>
    </fill>
    <fill>
      <patternFill patternType="solid">
        <fgColor rgb="FFFBEAEA"/>
        <bgColor rgb="FFEDEDED"/>
      </patternFill>
    </fill>
    <fill>
      <patternFill patternType="solid">
        <fgColor rgb="FF3A3A3A"/>
        <bgColor rgb="FF333300"/>
      </patternFill>
    </fill>
    <fill>
      <patternFill patternType="solid">
        <fgColor rgb="FF548235"/>
        <bgColor rgb="FF595959"/>
      </patternFill>
    </fill>
    <fill>
      <patternFill patternType="solid">
        <fgColor rgb="FFE7E6E6"/>
        <bgColor rgb="FFEDEDED"/>
      </patternFill>
    </fill>
    <fill>
      <patternFill patternType="solid">
        <fgColor rgb="FF1F4E79"/>
        <bgColor rgb="FF1F3864"/>
      </patternFill>
    </fill>
    <fill>
      <patternFill patternType="solid">
        <fgColor rgb="FF7F6000"/>
        <bgColor rgb="FF595959"/>
      </patternFill>
    </fill>
    <fill>
      <patternFill patternType="solid">
        <fgColor rgb="FF1F6E8C"/>
        <bgColor rgb="FF008080"/>
      </patternFill>
    </fill>
    <fill>
      <patternFill patternType="solid">
        <fgColor rgb="FF595959"/>
        <bgColor rgb="FF3A3A3A"/>
      </patternFill>
    </fill>
    <fill>
      <patternFill patternType="solid">
        <fgColor rgb="FFEDEDED"/>
        <bgColor rgb="FFF2F2F2"/>
      </patternFill>
    </fill>
    <fill>
      <patternFill patternType="solid">
        <fgColor rgb="FFFFF2CC"/>
        <bgColor rgb="FFFBEAEA"/>
      </patternFill>
    </fill>
    <fill>
      <patternFill patternType="solid">
        <fgColor rgb="FFDDEBF7"/>
        <bgColor rgb="FFE7E6E6"/>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6" fillId="6" borderId="0" xfId="0" applyFont="true" applyBorder="false" applyAlignment="false" applyProtection="false">
      <alignment horizontal="general" vertical="bottom" textRotation="0" wrapText="fals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5" fontId="8" fillId="7" borderId="1" xfId="0" applyFont="true" applyBorder="true" applyAlignment="true" applyProtection="false">
      <alignment horizontal="center" vertical="top" textRotation="0" wrapText="true" indent="0" shrinkToFit="false"/>
      <protection locked="true" hidden="false"/>
    </xf>
    <xf numFmtId="166" fontId="8" fillId="7" borderId="1" xfId="0" applyFont="true" applyBorder="true" applyAlignment="true" applyProtection="false">
      <alignment horizontal="center" vertical="top" textRotation="0" wrapText="true" indent="0" shrinkToFit="false"/>
      <protection locked="true" hidden="false"/>
    </xf>
    <xf numFmtId="164" fontId="4" fillId="8" borderId="0" xfId="0" applyFont="true" applyBorder="false" applyAlignment="true" applyProtection="false">
      <alignment horizontal="general" vertical="center" textRotation="0" wrapText="false" indent="0" shrinkToFit="false"/>
      <protection locked="true" hidden="false"/>
    </xf>
    <xf numFmtId="164" fontId="0" fillId="8" borderId="0" xfId="0" applyFont="false" applyBorder="false" applyAlignment="false" applyProtection="false">
      <alignment horizontal="general" vertical="bottom" textRotation="0" wrapText="false" indent="0" shrinkToFit="false"/>
      <protection locked="true" hidden="false"/>
    </xf>
    <xf numFmtId="164" fontId="11" fillId="8" borderId="1" xfId="0" applyFont="true" applyBorder="true" applyAlignment="true" applyProtection="false">
      <alignment horizontal="center" vertical="top" textRotation="0" wrapText="true" indent="0" shrinkToFit="false"/>
      <protection locked="true" hidden="false"/>
    </xf>
    <xf numFmtId="164" fontId="11" fillId="9" borderId="1" xfId="0" applyFont="true" applyBorder="true" applyAlignment="true" applyProtection="false">
      <alignment horizontal="center" vertical="top" textRotation="0" wrapText="true" indent="0" shrinkToFit="false"/>
      <protection locked="true" hidden="false"/>
    </xf>
    <xf numFmtId="164" fontId="11" fillId="10" borderId="1" xfId="0" applyFont="true" applyBorder="true" applyAlignment="true" applyProtection="false">
      <alignment horizontal="center" vertical="top" textRotation="0" wrapText="true" indent="0" shrinkToFit="false"/>
      <protection locked="true" hidden="false"/>
    </xf>
    <xf numFmtId="164" fontId="11" fillId="11" borderId="1" xfId="0" applyFont="true" applyBorder="true" applyAlignment="true" applyProtection="false">
      <alignment horizontal="center" vertical="top" textRotation="0" wrapText="true" indent="0" shrinkToFit="false"/>
      <protection locked="true" hidden="false"/>
    </xf>
    <xf numFmtId="164" fontId="12" fillId="12" borderId="1" xfId="0" applyFont="true" applyBorder="true" applyAlignment="true" applyProtection="false">
      <alignment horizontal="center" vertical="top" textRotation="0" wrapText="true" indent="0" shrinkToFit="false"/>
      <protection locked="true" hidden="false"/>
    </xf>
    <xf numFmtId="164" fontId="8" fillId="12" borderId="1" xfId="0" applyFont="true" applyBorder="true" applyAlignment="true" applyProtection="false">
      <alignment horizontal="center" vertical="top" textRotation="0" wrapText="true" indent="0" shrinkToFit="false"/>
      <protection locked="true" hidden="false"/>
    </xf>
    <xf numFmtId="164" fontId="8" fillId="12" borderId="1" xfId="0" applyFont="true" applyBorder="true" applyAlignment="true" applyProtection="false">
      <alignment horizontal="general" vertical="top" textRotation="0" wrapText="true" indent="0" shrinkToFit="false"/>
      <protection locked="true" hidden="false"/>
    </xf>
    <xf numFmtId="164" fontId="8" fillId="7"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center" vertical="top" textRotation="0" wrapText="true" indent="0" shrinkToFit="false"/>
      <protection locked="true" hidden="false"/>
    </xf>
    <xf numFmtId="164" fontId="8" fillId="13" borderId="1" xfId="0" applyFont="true" applyBorder="true" applyAlignment="true" applyProtection="false">
      <alignment horizontal="center"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14" borderId="1" xfId="0" applyFont="true" applyBorder="true" applyAlignment="true" applyProtection="false">
      <alignment horizontal="center" vertical="top" textRotation="0" wrapText="true" indent="0" shrinkToFit="false"/>
      <protection locked="true" hidden="false"/>
    </xf>
    <xf numFmtId="164" fontId="8" fillId="14" borderId="1" xfId="0" applyFont="true" applyBorder="true" applyAlignment="true" applyProtection="false">
      <alignment horizontal="general" vertical="top" textRotation="0" wrapText="true" indent="0" shrinkToFit="false"/>
      <protection locked="true" hidden="false"/>
    </xf>
    <xf numFmtId="164" fontId="8" fillId="13" borderId="1" xfId="0" applyFont="true" applyBorder="true" applyAlignment="true" applyProtection="false">
      <alignment horizontal="general" vertical="top" textRotation="0" wrapText="true" indent="0" shrinkToFit="false"/>
      <protection locked="true" hidden="false"/>
    </xf>
    <xf numFmtId="164" fontId="4" fillId="10" borderId="0" xfId="0" applyFont="true" applyBorder="false" applyAlignment="true" applyProtection="false">
      <alignment horizontal="general" vertical="center" textRotation="0" wrapText="false" indent="0" shrinkToFit="false"/>
      <protection locked="true" hidden="false"/>
    </xf>
    <xf numFmtId="164" fontId="0" fillId="10" borderId="0" xfId="0" applyFont="fals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ill>
        <patternFill patternType="solid">
          <fgColor rgb="FF1F4E79"/>
          <bgColor rgb="FF000000"/>
        </patternFill>
      </fill>
    </dxf>
    <dxf>
      <fill>
        <patternFill patternType="solid">
          <fgColor rgb="FFEDEDED"/>
          <bgColor rgb="FF000000"/>
        </patternFill>
      </fill>
    </dxf>
    <dxf>
      <fill>
        <patternFill patternType="solid">
          <fgColor rgb="FFFFFFFF"/>
          <bgColor rgb="FF000000"/>
        </patternFill>
      </fill>
    </dxf>
    <dxf>
      <fill>
        <patternFill patternType="solid">
          <fgColor rgb="FF1F3864"/>
          <bgColor rgb="FF000000"/>
        </patternFill>
      </fill>
    </dxf>
    <dxf>
      <fill>
        <patternFill patternType="solid">
          <fgColor rgb="FF7F6000"/>
          <bgColor rgb="FF000000"/>
        </patternFill>
      </fill>
    </dxf>
    <dxf>
      <fill>
        <patternFill patternType="solid">
          <fgColor rgb="FFFFF2CC"/>
          <bgColor rgb="FF000000"/>
        </patternFill>
      </fill>
    </dxf>
    <dxf>
      <fill>
        <patternFill patternType="solid">
          <bgColor rgb="FF000000"/>
        </patternFill>
      </fill>
    </dxf>
    <dxf>
      <fill>
        <patternFill patternType="solid">
          <fgColor rgb="FF1F6E8C"/>
          <bgColor rgb="FF000000"/>
        </patternFill>
      </fill>
    </dxf>
    <dxf>
      <fill>
        <patternFill patternType="solid">
          <fgColor rgb="FFDDEBF7"/>
          <bgColor rgb="FF000000"/>
        </patternFill>
      </fill>
    </dxf>
    <dxf>
      <fill>
        <patternFill patternType="solid">
          <fgColor rgb="FFD9D9D9"/>
          <bgColor rgb="FF000000"/>
        </patternFill>
      </fill>
    </dxf>
    <dxf>
      <fill>
        <patternFill patternType="solid">
          <fgColor rgb="FFFF7C80"/>
          <bgColor rgb="FF000000"/>
        </patternFill>
      </fill>
    </dxf>
    <dxf>
      <fill>
        <patternFill patternType="solid">
          <fgColor rgb="FF595959"/>
          <bgColor rgb="FF000000"/>
        </patternFill>
      </fill>
    </dxf>
    <dxf>
      <fill>
        <patternFill patternType="solid">
          <fgColor rgb="FFC6EFCE"/>
          <bgColor rgb="FF000000"/>
        </patternFill>
      </fill>
    </dxf>
    <dxf>
      <fill>
        <patternFill patternType="solid">
          <fgColor rgb="FFE7E6E6"/>
          <bgColor rgb="FF000000"/>
        </patternFill>
      </fill>
    </dxf>
    <dxf>
      <font>
        <name val="Arial"/>
        <charset val="1"/>
        <family val="0"/>
        <b val="1"/>
      </font>
      <fill>
        <patternFill>
          <bgColor rgb="FFD9D9D9"/>
        </patternFill>
      </fill>
    </dxf>
    <dxf>
      <font>
        <name val="Arial"/>
        <charset val="1"/>
        <family val="0"/>
        <b val="1"/>
      </font>
      <fill>
        <patternFill>
          <bgColor rgb="FFC6EFCE"/>
        </patternFill>
      </fill>
    </dxf>
    <dxf>
      <font>
        <name val="Arial"/>
        <charset val="1"/>
        <family val="0"/>
        <b val="1"/>
      </font>
      <fill>
        <patternFill>
          <bgColor rgb="FFFF7C80"/>
        </patternFill>
      </fill>
    </dxf>
    <dxf>
      <font>
        <name val="Arial"/>
        <charset val="1"/>
        <family val="0"/>
        <b val="1"/>
      </font>
      <fill>
        <patternFill>
          <bgColor rgb="FFFFEB9C"/>
        </patternFill>
      </fill>
    </dxf>
    <dxf>
      <font>
        <name val="Arial"/>
        <charset val="1"/>
        <family val="0"/>
        <b val="1"/>
      </font>
      <fill>
        <patternFill>
          <bgColor rgb="FFF2F2F2"/>
        </patternFill>
      </fill>
    </dxf>
    <dxf>
      <font>
        <name val="Arial"/>
        <charset val="1"/>
        <family val="0"/>
      </font>
      <fill>
        <patternFill>
          <bgColor rgb="FFFFEB9C"/>
        </patternFill>
      </fill>
    </dxf>
    <dxf>
      <font>
        <name val="Arial"/>
        <charset val="1"/>
        <family val="0"/>
      </font>
      <fill>
        <patternFill>
          <bgColor rgb="FFF8CBAD"/>
        </patternFill>
      </fill>
    </dxf>
    <dxf>
      <font>
        <name val="Arial"/>
        <charset val="1"/>
        <family val="0"/>
      </font>
      <fill>
        <patternFill>
          <bgColor rgb="FFC6EFCE"/>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7F6000"/>
      <rgbColor rgb="FF800080"/>
      <rgbColor rgb="FF1F6E8C"/>
      <rgbColor rgb="FFBFBFBF"/>
      <rgbColor rgb="FF7F7F7F"/>
      <rgbColor rgb="FF9999FF"/>
      <rgbColor rgb="FF993366"/>
      <rgbColor rgb="FFFFF2CC"/>
      <rgbColor rgb="FFDDEBF7"/>
      <rgbColor rgb="FF660066"/>
      <rgbColor rgb="FFFF7C80"/>
      <rgbColor rgb="FF0563C1"/>
      <rgbColor rgb="FFD9D9D9"/>
      <rgbColor rgb="FF000080"/>
      <rgbColor rgb="FFFF00FF"/>
      <rgbColor rgb="FFFFFF00"/>
      <rgbColor rgb="FF00FFFF"/>
      <rgbColor rgb="FF800080"/>
      <rgbColor rgb="FF800000"/>
      <rgbColor rgb="FF008080"/>
      <rgbColor rgb="FF0000FF"/>
      <rgbColor rgb="FF00CCFF"/>
      <rgbColor rgb="FFF2F2F2"/>
      <rgbColor rgb="FFC6EFCE"/>
      <rgbColor rgb="FFFFEB9C"/>
      <rgbColor rgb="FFE7E6E6"/>
      <rgbColor rgb="FFFBEAEA"/>
      <rgbColor rgb="FFEDEDED"/>
      <rgbColor rgb="FFF8CBAD"/>
      <rgbColor rgb="FF3366FF"/>
      <rgbColor rgb="FF33CCCC"/>
      <rgbColor rgb="FF99CC00"/>
      <rgbColor rgb="FFFFCC00"/>
      <rgbColor rgb="FFFF9900"/>
      <rgbColor rgb="FFFF6600"/>
      <rgbColor rgb="FF595959"/>
      <rgbColor rgb="FF969696"/>
      <rgbColor rgb="FF1F3864"/>
      <rgbColor rgb="FF548235"/>
      <rgbColor rgb="FF003300"/>
      <rgbColor rgb="FF333300"/>
      <rgbColor rgb="FF993300"/>
      <rgbColor rgb="FF993366"/>
      <rgbColor rgb="FF1F4E79"/>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_rels/sheet6.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35.05" hidden="false" customHeight="false" outlineLevel="0" collapsed="false">
      <c r="A5" s="5" t="s">
        <v>3</v>
      </c>
      <c r="B5" s="6" t="s">
        <v>4</v>
      </c>
    </row>
    <row r="6" customFormat="false" ht="15" hidden="false" customHeight="false" outlineLevel="0" collapsed="false">
      <c r="A6" s="7" t="s">
        <v>5</v>
      </c>
      <c r="B6" s="8" t="s">
        <v>6</v>
      </c>
    </row>
    <row r="7" customFormat="false" ht="35.05" hidden="false" customHeight="false" outlineLevel="0" collapsed="false">
      <c r="A7" s="5" t="s">
        <v>7</v>
      </c>
      <c r="B7" s="6" t="s">
        <v>8</v>
      </c>
    </row>
    <row r="8" customFormat="false" ht="35.05" hidden="false" customHeight="false" outlineLevel="0" collapsed="false">
      <c r="A8" s="7" t="s">
        <v>9</v>
      </c>
      <c r="B8" s="8" t="s">
        <v>10</v>
      </c>
    </row>
    <row r="10" customFormat="false" ht="15" hidden="false" customHeight="false" outlineLevel="0" collapsed="false">
      <c r="A10" s="4" t="s">
        <v>11</v>
      </c>
      <c r="B10" s="2"/>
    </row>
    <row r="11" customFormat="false" ht="23.85" hidden="false" customHeight="false" outlineLevel="0" collapsed="false">
      <c r="A11" s="5" t="s">
        <v>12</v>
      </c>
      <c r="B11" s="6" t="s">
        <v>13</v>
      </c>
    </row>
    <row r="12" customFormat="false" ht="23.85" hidden="false" customHeight="false" outlineLevel="0" collapsed="false">
      <c r="A12" s="7" t="s">
        <v>14</v>
      </c>
      <c r="B12" s="8" t="s">
        <v>15</v>
      </c>
    </row>
    <row r="13" customFormat="false" ht="23.85" hidden="false" customHeight="false" outlineLevel="0" collapsed="false">
      <c r="A13" s="5" t="s">
        <v>16</v>
      </c>
      <c r="B13" s="6" t="s">
        <v>17</v>
      </c>
    </row>
    <row r="14" customFormat="false" ht="23.85" hidden="false" customHeight="false" outlineLevel="0" collapsed="false">
      <c r="A14" s="7" t="s">
        <v>18</v>
      </c>
      <c r="B14" s="8" t="s">
        <v>19</v>
      </c>
    </row>
    <row r="16" customFormat="false" ht="15" hidden="false" customHeight="false" outlineLevel="0" collapsed="false">
      <c r="A16" s="4" t="s">
        <v>20</v>
      </c>
      <c r="B16" s="2"/>
    </row>
    <row r="17" customFormat="false" ht="15" hidden="false" customHeight="false" outlineLevel="0" collapsed="false">
      <c r="A17" s="5" t="s">
        <v>21</v>
      </c>
      <c r="B17" s="6" t="s">
        <v>22</v>
      </c>
    </row>
    <row r="18" customFormat="false" ht="15" hidden="false" customHeight="false" outlineLevel="0" collapsed="false">
      <c r="A18" s="7" t="s">
        <v>23</v>
      </c>
      <c r="B18" s="8" t="s">
        <v>24</v>
      </c>
    </row>
    <row r="19" customFormat="false" ht="23.85" hidden="false" customHeight="false" outlineLevel="0" collapsed="false">
      <c r="A19" s="5" t="s">
        <v>25</v>
      </c>
      <c r="B19" s="6" t="s">
        <v>26</v>
      </c>
    </row>
    <row r="20" customFormat="false" ht="15" hidden="false" customHeight="false" outlineLevel="0" collapsed="false">
      <c r="A20" s="7" t="s">
        <v>27</v>
      </c>
      <c r="B20" s="8" t="s">
        <v>28</v>
      </c>
    </row>
    <row r="21" customFormat="false" ht="15" hidden="false" customHeight="false" outlineLevel="0" collapsed="false">
      <c r="A21" s="5" t="s">
        <v>29</v>
      </c>
      <c r="B21" s="6" t="s">
        <v>30</v>
      </c>
    </row>
    <row r="22" customFormat="false" ht="15" hidden="false" customHeight="false" outlineLevel="0" collapsed="false">
      <c r="A22" s="7" t="s">
        <v>31</v>
      </c>
      <c r="B22" s="8" t="s">
        <v>32</v>
      </c>
    </row>
    <row r="24" customFormat="false" ht="15" hidden="false" customHeight="false" outlineLevel="0" collapsed="false">
      <c r="A24" s="4" t="s">
        <v>33</v>
      </c>
      <c r="B24" s="2"/>
    </row>
    <row r="25" customFormat="false" ht="35.05" hidden="false" customHeight="false" outlineLevel="0" collapsed="false">
      <c r="A25" s="5" t="s">
        <v>34</v>
      </c>
      <c r="B25" s="6" t="s">
        <v>35</v>
      </c>
    </row>
    <row r="26" customFormat="false" ht="23.85" hidden="false" customHeight="false" outlineLevel="0" collapsed="false">
      <c r="A26" s="7" t="s">
        <v>36</v>
      </c>
      <c r="B26" s="8" t="s">
        <v>37</v>
      </c>
    </row>
    <row r="27" customFormat="false" ht="23.85" hidden="false" customHeight="false" outlineLevel="0" collapsed="false">
      <c r="A27" s="5" t="s">
        <v>38</v>
      </c>
      <c r="B27" s="6" t="s">
        <v>39</v>
      </c>
    </row>
    <row r="28" customFormat="false" ht="57.45" hidden="false" customHeight="false" outlineLevel="0" collapsed="false">
      <c r="A28" s="7" t="s">
        <v>40</v>
      </c>
      <c r="B28" s="8" t="s">
        <v>41</v>
      </c>
    </row>
    <row r="30" customFormat="false" ht="15" hidden="false" customHeight="false" outlineLevel="0" collapsed="false">
      <c r="A30" s="4" t="s">
        <v>42</v>
      </c>
      <c r="B30" s="2"/>
    </row>
    <row r="31" customFormat="false" ht="15" hidden="false" customHeight="false" outlineLevel="0" collapsed="false">
      <c r="A31" s="5" t="s">
        <v>43</v>
      </c>
      <c r="B31" s="6" t="s">
        <v>44</v>
      </c>
    </row>
    <row r="32" customFormat="false" ht="15" hidden="false" customHeight="false" outlineLevel="0" collapsed="false">
      <c r="A32" s="7" t="s">
        <v>45</v>
      </c>
      <c r="B32" s="8" t="s">
        <v>46</v>
      </c>
    </row>
    <row r="33" customFormat="false" ht="15" hidden="false" customHeight="false" outlineLevel="0" collapsed="false">
      <c r="A33" s="5" t="s">
        <v>47</v>
      </c>
      <c r="B33" s="6" t="s">
        <v>48</v>
      </c>
    </row>
    <row r="34" customFormat="false" ht="15" hidden="false" customHeight="false" outlineLevel="0" collapsed="false">
      <c r="A34" s="7" t="s">
        <v>49</v>
      </c>
      <c r="B34" s="8" t="s">
        <v>50</v>
      </c>
    </row>
    <row r="36" customFormat="false" ht="15" hidden="false" customHeight="false" outlineLevel="0" collapsed="false">
      <c r="A36" s="4" t="s">
        <v>51</v>
      </c>
      <c r="B36" s="2"/>
    </row>
    <row r="37" customFormat="false" ht="15" hidden="false" customHeight="false" outlineLevel="0" collapsed="false">
      <c r="A37" s="5" t="s">
        <v>52</v>
      </c>
      <c r="B37" s="6" t="s">
        <v>53</v>
      </c>
    </row>
    <row r="38" customFormat="false" ht="15" hidden="false" customHeight="false" outlineLevel="0" collapsed="false">
      <c r="A38" s="7" t="s">
        <v>54</v>
      </c>
      <c r="B38" s="8" t="s">
        <v>55</v>
      </c>
    </row>
    <row r="39" customFormat="false" ht="15" hidden="false" customHeight="false" outlineLevel="0" collapsed="false">
      <c r="A39" s="5" t="s">
        <v>56</v>
      </c>
      <c r="B39" s="6" t="s">
        <v>57</v>
      </c>
    </row>
    <row r="40" customFormat="false" ht="15" hidden="false" customHeight="false" outlineLevel="0" collapsed="false">
      <c r="A40" s="7" t="s">
        <v>58</v>
      </c>
      <c r="B40" s="8" t="s">
        <v>59</v>
      </c>
    </row>
    <row r="41" customFormat="false" ht="15" hidden="false" customHeight="false" outlineLevel="0" collapsed="false">
      <c r="A41" s="5" t="s">
        <v>60</v>
      </c>
      <c r="B41" s="6" t="s">
        <v>61</v>
      </c>
    </row>
    <row r="42" customFormat="false" ht="15" hidden="false" customHeight="false" outlineLevel="0" collapsed="false">
      <c r="A42" s="7" t="s">
        <v>62</v>
      </c>
      <c r="B42" s="8" t="s">
        <v>63</v>
      </c>
    </row>
    <row r="44" customFormat="false" ht="27.75" hidden="false" customHeight="true" outlineLevel="0" collapsed="false">
      <c r="A44" s="9" t="s">
        <v>64</v>
      </c>
      <c r="B44" s="9"/>
    </row>
  </sheetData>
  <mergeCells count="1">
    <mergeCell ref="A44:B44"/>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0" t="s">
        <v>62</v>
      </c>
      <c r="B1" s="11"/>
    </row>
    <row r="2" customFormat="false" ht="15" hidden="false" customHeight="false" outlineLevel="0" collapsed="false">
      <c r="A2" s="3" t="s">
        <v>65</v>
      </c>
    </row>
    <row r="4" customFormat="false" ht="15" hidden="false" customHeight="false" outlineLevel="0" collapsed="false">
      <c r="A4" s="12" t="s">
        <v>66</v>
      </c>
      <c r="B4" s="11"/>
    </row>
    <row r="5" customFormat="false" ht="15" hidden="false" customHeight="false" outlineLevel="0" collapsed="false">
      <c r="A5" s="5" t="s">
        <v>67</v>
      </c>
      <c r="B5" s="6" t="s">
        <v>0</v>
      </c>
    </row>
    <row r="6" customFormat="false" ht="15" hidden="false" customHeight="false" outlineLevel="0" collapsed="false">
      <c r="A6" s="5" t="s">
        <v>68</v>
      </c>
      <c r="B6" s="6" t="s">
        <v>69</v>
      </c>
    </row>
    <row r="7" customFormat="false" ht="23.85" hidden="false" customHeight="false" outlineLevel="0" collapsed="false">
      <c r="A7" s="5" t="s">
        <v>62</v>
      </c>
      <c r="B7" s="6" t="s">
        <v>70</v>
      </c>
    </row>
    <row r="8" customFormat="false" ht="15" hidden="false" customHeight="false" outlineLevel="0" collapsed="false">
      <c r="A8" s="5" t="s">
        <v>71</v>
      </c>
      <c r="B8" s="13" t="s">
        <v>72</v>
      </c>
    </row>
    <row r="9" customFormat="false" ht="15" hidden="false" customHeight="false" outlineLevel="0" collapsed="false">
      <c r="A9" s="5" t="s">
        <v>73</v>
      </c>
      <c r="B9" s="13" t="s">
        <v>74</v>
      </c>
    </row>
    <row r="10" customFormat="false" ht="15" hidden="false" customHeight="false" outlineLevel="0" collapsed="false">
      <c r="A10" s="5" t="s">
        <v>75</v>
      </c>
      <c r="B10" s="13" t="s">
        <v>76</v>
      </c>
    </row>
    <row r="11" customFormat="false" ht="15" hidden="false" customHeight="false" outlineLevel="0" collapsed="false">
      <c r="A11" s="5" t="s">
        <v>77</v>
      </c>
      <c r="B11" s="13" t="s">
        <v>78</v>
      </c>
    </row>
    <row r="13" customFormat="false" ht="15" hidden="false" customHeight="false" outlineLevel="0" collapsed="false">
      <c r="A13" s="12" t="s">
        <v>79</v>
      </c>
      <c r="B13" s="11"/>
    </row>
    <row r="14" customFormat="false" ht="23.85" hidden="false" customHeight="false" outlineLevel="0" collapsed="false">
      <c r="A14" s="5" t="s">
        <v>80</v>
      </c>
      <c r="B14" s="6" t="s">
        <v>81</v>
      </c>
    </row>
    <row r="15" customFormat="false" ht="35.05" hidden="false" customHeight="false" outlineLevel="0" collapsed="false">
      <c r="A15" s="5" t="s">
        <v>82</v>
      </c>
      <c r="B15" s="6" t="s">
        <v>83</v>
      </c>
    </row>
    <row r="16" customFormat="false" ht="23.85" hidden="false" customHeight="false" outlineLevel="0" collapsed="false">
      <c r="A16" s="5" t="s">
        <v>84</v>
      </c>
      <c r="B16" s="6" t="s">
        <v>85</v>
      </c>
    </row>
    <row r="18" customFormat="false" ht="15" hidden="false" customHeight="false" outlineLevel="0" collapsed="false">
      <c r="A18" s="12" t="s">
        <v>86</v>
      </c>
      <c r="B18" s="11"/>
    </row>
    <row r="19" customFormat="false" ht="23.85" hidden="false" customHeight="false" outlineLevel="0" collapsed="false">
      <c r="A19" s="5" t="s">
        <v>87</v>
      </c>
      <c r="B19" s="6" t="s">
        <v>88</v>
      </c>
    </row>
    <row r="20" customFormat="false" ht="15" hidden="false" customHeight="false" outlineLevel="0" collapsed="false">
      <c r="A20" s="5" t="s">
        <v>89</v>
      </c>
      <c r="B20" s="6" t="s">
        <v>90</v>
      </c>
    </row>
    <row r="22" customFormat="false" ht="15" hidden="false" customHeight="false" outlineLevel="0" collapsed="false">
      <c r="A22" s="12" t="s">
        <v>91</v>
      </c>
      <c r="B22" s="11"/>
    </row>
    <row r="23" customFormat="false" ht="35.05" hidden="false" customHeight="false" outlineLevel="0" collapsed="false">
      <c r="A23" s="5" t="s">
        <v>92</v>
      </c>
      <c r="B23" s="6" t="s">
        <v>93</v>
      </c>
    </row>
    <row r="25" customFormat="false" ht="15" hidden="false" customHeight="false" outlineLevel="0" collapsed="false">
      <c r="A25" s="12" t="s">
        <v>94</v>
      </c>
      <c r="B25" s="11"/>
    </row>
    <row r="26" customFormat="false" ht="35.05" hidden="false" customHeight="false" outlineLevel="0" collapsed="false">
      <c r="A26" s="5" t="s">
        <v>95</v>
      </c>
      <c r="B26" s="6" t="s">
        <v>96</v>
      </c>
    </row>
    <row r="27" customFormat="false" ht="23.85" hidden="false" customHeight="false" outlineLevel="0" collapsed="false">
      <c r="A27" s="5" t="s">
        <v>97</v>
      </c>
      <c r="B27" s="6" t="s">
        <v>98</v>
      </c>
    </row>
    <row r="28" customFormat="false" ht="15" hidden="false" customHeight="false" outlineLevel="0" collapsed="false">
      <c r="A28" s="5" t="s">
        <v>99</v>
      </c>
      <c r="B28" s="6" t="s">
        <v>100</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H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8" min="2" style="0" width="12"/>
  </cols>
  <sheetData>
    <row r="1" customFormat="false" ht="30" hidden="false" customHeight="true" outlineLevel="0" collapsed="false">
      <c r="A1" s="14" t="s">
        <v>101</v>
      </c>
      <c r="B1" s="15"/>
      <c r="C1" s="15"/>
      <c r="D1" s="15"/>
      <c r="E1" s="15"/>
      <c r="F1" s="15"/>
      <c r="G1" s="15"/>
      <c r="H1" s="15"/>
    </row>
    <row r="2" customFormat="false" ht="15" hidden="false" customHeight="false" outlineLevel="0" collapsed="false">
      <c r="A2" s="3" t="s">
        <v>102</v>
      </c>
    </row>
    <row r="4" customFormat="false" ht="15" hidden="false" customHeight="false" outlineLevel="0" collapsed="false">
      <c r="A4" s="16" t="s">
        <v>54</v>
      </c>
      <c r="B4" s="15"/>
    </row>
    <row r="5" customFormat="false" ht="15" hidden="false" customHeight="false" outlineLevel="0" collapsed="false">
      <c r="A5" s="17" t="s">
        <v>103</v>
      </c>
      <c r="B5" s="17" t="s">
        <v>104</v>
      </c>
    </row>
    <row r="6" customFormat="false" ht="15" hidden="false" customHeight="false" outlineLevel="0" collapsed="false">
      <c r="A6" s="5" t="s">
        <v>105</v>
      </c>
      <c r="B6" s="18" t="n">
        <f aca="false">COUNTA(Baseline!$A$6:$A$670)</f>
        <v>165</v>
      </c>
    </row>
    <row r="7" customFormat="false" ht="15" hidden="false" customHeight="false" outlineLevel="0" collapsed="false">
      <c r="A7" s="5" t="s">
        <v>106</v>
      </c>
      <c r="B7" s="18" t="n">
        <f aca="false">COUNTIF(Baseline!$B$6:$B$670,"Y")</f>
        <v>165</v>
      </c>
    </row>
    <row r="8" customFormat="false" ht="15" hidden="false" customHeight="false" outlineLevel="0" collapsed="false">
      <c r="A8" s="5" t="s">
        <v>107</v>
      </c>
      <c r="B8" s="18" t="n">
        <f aca="false">COUNTIFS(Baseline!$B$6:$B$670,"Y",Baseline!$L$6:$L$670,"Y")</f>
        <v>112</v>
      </c>
    </row>
    <row r="9" customFormat="false" ht="15" hidden="false" customHeight="false" outlineLevel="0" collapsed="false">
      <c r="A9" s="5" t="s">
        <v>108</v>
      </c>
      <c r="B9" s="18" t="n">
        <f aca="false">COUNTIFS(Baseline!$B$6:$B$670,"Y",Baseline!$N$6:$N$670,"&lt;&gt;")</f>
        <v>0</v>
      </c>
    </row>
    <row r="10" customFormat="false" ht="15" hidden="false" customHeight="false" outlineLevel="0" collapsed="false">
      <c r="A10" s="5" t="s">
        <v>109</v>
      </c>
      <c r="B10" s="18" t="n">
        <f aca="false">COUNTIFS(Baseline!$B$6:$B$670,"Y",Baseline!$N$6:$N$670,"")</f>
        <v>165</v>
      </c>
    </row>
    <row r="11" customFormat="false" ht="15" hidden="false" customHeight="false" outlineLevel="0" collapsed="false">
      <c r="A11" s="5" t="s">
        <v>110</v>
      </c>
      <c r="B11" s="18" t="n">
        <f aca="false">COUNTIFS(Baseline!$B$6:$B$670,"Y",Baseline!$U$6:$U$670,"No detail: treat as unanswered")</f>
        <v>0</v>
      </c>
    </row>
    <row r="12" customFormat="false" ht="15" hidden="false" customHeight="false" outlineLevel="0" collapsed="false">
      <c r="A12" s="5" t="s">
        <v>111</v>
      </c>
      <c r="B12" s="18" t="n">
        <f aca="false">COUNTIFS(Baseline!$B$6:$B$670,"Y",Baseline!$S$6:$S$670,"&lt;&gt;Pending",Baseline!$S$6:$S$670,"&lt;&gt;")</f>
        <v>0</v>
      </c>
    </row>
    <row r="13" customFormat="false" ht="15" hidden="false" customHeight="false" outlineLevel="0" collapsed="false">
      <c r="A13" s="5" t="s">
        <v>112</v>
      </c>
      <c r="B13" s="19" t="n">
        <f aca="false">IFERROR(B12/B7,0)</f>
        <v>0</v>
      </c>
    </row>
    <row r="14" customFormat="false" ht="15" hidden="false" customHeight="false" outlineLevel="0" collapsed="false">
      <c r="A14" s="5" t="s">
        <v>113</v>
      </c>
      <c r="B14" s="18" t="n">
        <f aca="false">COUNTIFS(Baseline!$B$6:$B$670,"Y",Baseline!$L$6:$L$670,"Y",Baseline!$S$6:$S$670,"Gap")</f>
        <v>0</v>
      </c>
    </row>
    <row r="16" customFormat="false" ht="15" hidden="false" customHeight="false" outlineLevel="0" collapsed="false">
      <c r="A16" s="16" t="s">
        <v>114</v>
      </c>
      <c r="B16" s="15"/>
      <c r="C16" s="15"/>
    </row>
    <row r="17" customFormat="false" ht="15" hidden="false" customHeight="false" outlineLevel="0" collapsed="false">
      <c r="A17" s="17" t="s">
        <v>115</v>
      </c>
      <c r="B17" s="17" t="s">
        <v>104</v>
      </c>
      <c r="C17" s="17" t="s">
        <v>116</v>
      </c>
    </row>
    <row r="18" customFormat="false" ht="15" hidden="false" customHeight="false" outlineLevel="0" collapsed="false">
      <c r="A18" s="5" t="s">
        <v>117</v>
      </c>
      <c r="B18" s="18" t="n">
        <f aca="false">COUNTIFS(Baseline!$B$6:$B$670,"Y",Baseline!$S$6:$S$670,"Pending")</f>
        <v>165</v>
      </c>
      <c r="C18" s="19" t="n">
        <f aca="false">IFERROR(B18/COUNTIF(Baseline!$B$6:$B$670,"Y"),0)</f>
        <v>1</v>
      </c>
    </row>
    <row r="19" customFormat="false" ht="15" hidden="false" customHeight="false" outlineLevel="0" collapsed="false">
      <c r="A19" s="5" t="s">
        <v>118</v>
      </c>
      <c r="B19" s="18" t="n">
        <f aca="false">COUNTIFS(Baseline!$B$6:$B$670,"Y",Baseline!$S$6:$S$670,"Accepted")</f>
        <v>0</v>
      </c>
      <c r="C19" s="19" t="n">
        <f aca="false">IFERROR(B19/COUNTIF(Baseline!$B$6:$B$670,"Y"),0)</f>
        <v>0</v>
      </c>
    </row>
    <row r="20" customFormat="false" ht="15" hidden="false" customHeight="false" outlineLevel="0" collapsed="false">
      <c r="A20" s="5" t="s">
        <v>119</v>
      </c>
      <c r="B20" s="18" t="n">
        <f aca="false">COUNTIFS(Baseline!$B$6:$B$670,"Y",Baseline!$S$6:$S$670,"Gap")</f>
        <v>0</v>
      </c>
      <c r="C20" s="19" t="n">
        <f aca="false">IFERROR(B20/COUNTIF(Baseline!$B$6:$B$670,"Y"),0)</f>
        <v>0</v>
      </c>
    </row>
    <row r="21" customFormat="false" ht="15" hidden="false" customHeight="false" outlineLevel="0" collapsed="false">
      <c r="A21" s="5" t="s">
        <v>120</v>
      </c>
      <c r="B21" s="18" t="n">
        <f aca="false">COUNTIFS(Baseline!$B$6:$B$670,"Y",Baseline!$S$6:$S$670,"Risk Accepted")</f>
        <v>0</v>
      </c>
      <c r="C21" s="19" t="n">
        <f aca="false">IFERROR(B21/COUNTIF(Baseline!$B$6:$B$670,"Y"),0)</f>
        <v>0</v>
      </c>
    </row>
    <row r="22" customFormat="false" ht="15" hidden="false" customHeight="false" outlineLevel="0" collapsed="false">
      <c r="A22" s="5" t="s">
        <v>121</v>
      </c>
      <c r="B22" s="18" t="n">
        <f aca="false">COUNTIFS(Baseline!$B$6:$B$670,"Y",Baseline!$S$6:$S$670,"Not Applicable")</f>
        <v>0</v>
      </c>
      <c r="C22" s="19" t="n">
        <f aca="false">IFERROR(B22/COUNTIF(Baseline!$B$6:$B$670,"Y"),0)</f>
        <v>0</v>
      </c>
    </row>
    <row r="24" customFormat="false" ht="15" hidden="false" customHeight="false" outlineLevel="0" collapsed="false">
      <c r="A24" s="16" t="s">
        <v>122</v>
      </c>
      <c r="B24" s="15"/>
      <c r="C24" s="15"/>
    </row>
    <row r="25" customFormat="false" ht="15" hidden="false" customHeight="false" outlineLevel="0" collapsed="false">
      <c r="A25" s="17" t="s">
        <v>123</v>
      </c>
      <c r="B25" s="17" t="s">
        <v>104</v>
      </c>
      <c r="C25" s="17" t="s">
        <v>116</v>
      </c>
    </row>
    <row r="26" customFormat="false" ht="15" hidden="false" customHeight="false" outlineLevel="0" collapsed="false">
      <c r="A26" s="5" t="s">
        <v>124</v>
      </c>
      <c r="B26" s="18" t="n">
        <f aca="false">COUNTIFS(Baseline!$B$6:$B$670,"Y",Baseline!$N$6:$N$670,"Yes")</f>
        <v>0</v>
      </c>
      <c r="C26" s="19" t="n">
        <f aca="false">IFERROR(B26/COUNTIF(Baseline!$B$6:$B$670,"Y"),0)</f>
        <v>0</v>
      </c>
    </row>
    <row r="27" customFormat="false" ht="15" hidden="false" customHeight="false" outlineLevel="0" collapsed="false">
      <c r="A27" s="5" t="s">
        <v>125</v>
      </c>
      <c r="B27" s="18" t="n">
        <f aca="false">COUNTIFS(Baseline!$B$6:$B$670,"Y",Baseline!$N$6:$N$670,"No")</f>
        <v>0</v>
      </c>
      <c r="C27" s="19" t="n">
        <f aca="false">IFERROR(B27/COUNTIF(Baseline!$B$6:$B$670,"Y"),0)</f>
        <v>0</v>
      </c>
    </row>
    <row r="28" customFormat="false" ht="15" hidden="false" customHeight="false" outlineLevel="0" collapsed="false">
      <c r="A28" s="5" t="s">
        <v>126</v>
      </c>
      <c r="B28" s="18" t="n">
        <f aca="false">COUNTIFS(Baseline!$B$6:$B$670,"Y",Baseline!$N$6:$N$670,"Partial")</f>
        <v>0</v>
      </c>
      <c r="C28" s="19" t="n">
        <f aca="false">IFERROR(B28/COUNTIF(Baseline!$B$6:$B$670,"Y"),0)</f>
        <v>0</v>
      </c>
    </row>
    <row r="29" customFormat="false" ht="15" hidden="false" customHeight="false" outlineLevel="0" collapsed="false">
      <c r="A29" s="5" t="s">
        <v>127</v>
      </c>
      <c r="B29" s="18" t="n">
        <f aca="false">COUNTIFS(Baseline!$B$6:$B$670,"Y",Baseline!$N$6:$N$670,"N/A")</f>
        <v>0</v>
      </c>
      <c r="C29" s="19" t="n">
        <f aca="false">IFERROR(B29/COUNTIF(Baseline!$B$6:$B$670,"Y"),0)</f>
        <v>0</v>
      </c>
    </row>
    <row r="31" customFormat="false" ht="15" hidden="false" customHeight="false" outlineLevel="0" collapsed="false">
      <c r="A31" s="16" t="s">
        <v>128</v>
      </c>
      <c r="B31" s="15"/>
      <c r="C31" s="15"/>
      <c r="D31" s="15"/>
      <c r="E31" s="15"/>
      <c r="F31" s="15"/>
      <c r="G31" s="15"/>
      <c r="H31" s="15"/>
    </row>
    <row r="32" customFormat="false" ht="23.85" hidden="false" customHeight="false" outlineLevel="0" collapsed="false">
      <c r="A32" s="17" t="s">
        <v>23</v>
      </c>
      <c r="B32" s="17" t="s">
        <v>129</v>
      </c>
      <c r="C32" s="17" t="s">
        <v>106</v>
      </c>
      <c r="D32" s="17" t="s">
        <v>25</v>
      </c>
      <c r="E32" s="17" t="s">
        <v>118</v>
      </c>
      <c r="F32" s="17" t="s">
        <v>119</v>
      </c>
      <c r="G32" s="17" t="s">
        <v>120</v>
      </c>
      <c r="H32" s="17" t="s">
        <v>130</v>
      </c>
    </row>
    <row r="33" customFormat="false" ht="15" hidden="false" customHeight="false" outlineLevel="0" collapsed="false">
      <c r="A33" s="5" t="s">
        <v>131</v>
      </c>
      <c r="B33" s="18" t="n">
        <f aca="false">COUNTIF(Baseline!$K$6:$K$670,"Discovery")</f>
        <v>16</v>
      </c>
      <c r="C33" s="18" t="n">
        <f aca="false">COUNTIFS(Baseline!$K$6:$K$670,"Discovery",Baseline!$B$6:$B$670,"Y")</f>
        <v>16</v>
      </c>
      <c r="D33" s="18" t="n">
        <f aca="false">COUNTIFS(Baseline!$K$6:$K$670,"Discovery",Baseline!$B$6:$B$670,"Y",Baseline!$L$6:$L$670,"Y")</f>
        <v>15</v>
      </c>
      <c r="E33" s="18" t="n">
        <f aca="false">COUNTIFS(Baseline!$K$6:$K$670,"Discovery",Baseline!$B$6:$B$670,"Y",Baseline!$S$6:$S$670,"Accepted")</f>
        <v>0</v>
      </c>
      <c r="F33" s="18" t="n">
        <f aca="false">COUNTIFS(Baseline!$K$6:$K$670,"Discovery",Baseline!$B$6:$B$670,"Y",Baseline!$S$6:$S$670,"Gap")</f>
        <v>0</v>
      </c>
      <c r="G33" s="18" t="n">
        <f aca="false">COUNTIFS(Baseline!$K$6:$K$670,"Discovery",Baseline!$B$6:$B$670,"Y",Baseline!$S$6:$S$670,"Risk Accepted")</f>
        <v>0</v>
      </c>
      <c r="H33" s="19" t="n">
        <f aca="false">IFERROR((C33-COUNTIFS(Baseline!$K$6:$K$670,"Discovery",Baseline!$B$6:$B$670,"Y",Baseline!$S$6:$S$670,"Pending"))/C33,0)</f>
        <v>0</v>
      </c>
    </row>
    <row r="34" customFormat="false" ht="15" hidden="false" customHeight="false" outlineLevel="0" collapsed="false">
      <c r="A34" s="5" t="s">
        <v>132</v>
      </c>
      <c r="B34" s="18" t="n">
        <f aca="false">COUNTIF(Baseline!$K$6:$K$670,"Design Assessment")</f>
        <v>36</v>
      </c>
      <c r="C34" s="18" t="n">
        <f aca="false">COUNTIFS(Baseline!$K$6:$K$670,"Design Assessment",Baseline!$B$6:$B$670,"Y")</f>
        <v>36</v>
      </c>
      <c r="D34" s="18" t="n">
        <f aca="false">COUNTIFS(Baseline!$K$6:$K$670,"Design Assessment",Baseline!$B$6:$B$670,"Y",Baseline!$L$6:$L$670,"Y")</f>
        <v>24</v>
      </c>
      <c r="E34" s="18" t="n">
        <f aca="false">COUNTIFS(Baseline!$K$6:$K$670,"Design Assessment",Baseline!$B$6:$B$670,"Y",Baseline!$S$6:$S$670,"Accepted")</f>
        <v>0</v>
      </c>
      <c r="F34" s="18" t="n">
        <f aca="false">COUNTIFS(Baseline!$K$6:$K$670,"Design Assessment",Baseline!$B$6:$B$670,"Y",Baseline!$S$6:$S$670,"Gap")</f>
        <v>0</v>
      </c>
      <c r="G34" s="18" t="n">
        <f aca="false">COUNTIFS(Baseline!$K$6:$K$670,"Design Assessment",Baseline!$B$6:$B$670,"Y",Baseline!$S$6:$S$670,"Risk Accepted")</f>
        <v>0</v>
      </c>
      <c r="H34" s="19" t="n">
        <f aca="false">IFERROR((C34-COUNTIFS(Baseline!$K$6:$K$670,"Design Assessment",Baseline!$B$6:$B$670,"Y",Baseline!$S$6:$S$670,"Pending"))/C34,0)</f>
        <v>0</v>
      </c>
    </row>
    <row r="35" customFormat="false" ht="15" hidden="false" customHeight="false" outlineLevel="0" collapsed="false">
      <c r="A35" s="5" t="s">
        <v>133</v>
      </c>
      <c r="B35" s="18" t="n">
        <f aca="false">COUNTIF(Baseline!$K$6:$K$670,"Implementation Assessment")</f>
        <v>43</v>
      </c>
      <c r="C35" s="18" t="n">
        <f aca="false">COUNTIFS(Baseline!$K$6:$K$670,"Implementation Assessment",Baseline!$B$6:$B$670,"Y")</f>
        <v>43</v>
      </c>
      <c r="D35" s="18" t="n">
        <f aca="false">COUNTIFS(Baseline!$K$6:$K$670,"Implementation Assessment",Baseline!$B$6:$B$670,"Y",Baseline!$L$6:$L$670,"Y")</f>
        <v>34</v>
      </c>
      <c r="E35" s="18" t="n">
        <f aca="false">COUNTIFS(Baseline!$K$6:$K$670,"Implementation Assessment",Baseline!$B$6:$B$670,"Y",Baseline!$S$6:$S$670,"Accepted")</f>
        <v>0</v>
      </c>
      <c r="F35" s="18" t="n">
        <f aca="false">COUNTIFS(Baseline!$K$6:$K$670,"Implementation Assessment",Baseline!$B$6:$B$670,"Y",Baseline!$S$6:$S$670,"Gap")</f>
        <v>0</v>
      </c>
      <c r="G35" s="18" t="n">
        <f aca="false">COUNTIFS(Baseline!$K$6:$K$670,"Implementation Assessment",Baseline!$B$6:$B$670,"Y",Baseline!$S$6:$S$670,"Risk Accepted")</f>
        <v>0</v>
      </c>
      <c r="H35" s="19" t="n">
        <f aca="false">IFERROR((C35-COUNTIFS(Baseline!$K$6:$K$670,"Implementation Assessment",Baseline!$B$6:$B$670,"Y",Baseline!$S$6:$S$670,"Pending"))/C35,0)</f>
        <v>0</v>
      </c>
    </row>
    <row r="36" customFormat="false" ht="15" hidden="false" customHeight="false" outlineLevel="0" collapsed="false">
      <c r="A36" s="5" t="s">
        <v>134</v>
      </c>
      <c r="B36" s="18" t="n">
        <f aca="false">COUNTIF(Baseline!$K$6:$K$670,"Platform Assessment")</f>
        <v>29</v>
      </c>
      <c r="C36" s="18" t="n">
        <f aca="false">COUNTIFS(Baseline!$K$6:$K$670,"Platform Assessment",Baseline!$B$6:$B$670,"Y")</f>
        <v>29</v>
      </c>
      <c r="D36" s="18" t="n">
        <f aca="false">COUNTIFS(Baseline!$K$6:$K$670,"Platform Assessment",Baseline!$B$6:$B$670,"Y",Baseline!$L$6:$L$670,"Y")</f>
        <v>21</v>
      </c>
      <c r="E36" s="18" t="n">
        <f aca="false">COUNTIFS(Baseline!$K$6:$K$670,"Platform Assessment",Baseline!$B$6:$B$670,"Y",Baseline!$S$6:$S$670,"Accepted")</f>
        <v>0</v>
      </c>
      <c r="F36" s="18" t="n">
        <f aca="false">COUNTIFS(Baseline!$K$6:$K$670,"Platform Assessment",Baseline!$B$6:$B$670,"Y",Baseline!$S$6:$S$670,"Gap")</f>
        <v>0</v>
      </c>
      <c r="G36" s="18" t="n">
        <f aca="false">COUNTIFS(Baseline!$K$6:$K$670,"Platform Assessment",Baseline!$B$6:$B$670,"Y",Baseline!$S$6:$S$670,"Risk Accepted")</f>
        <v>0</v>
      </c>
      <c r="H36" s="19" t="n">
        <f aca="false">IFERROR((C36-COUNTIFS(Baseline!$K$6:$K$670,"Platform Assessment",Baseline!$B$6:$B$670,"Y",Baseline!$S$6:$S$670,"Pending"))/C36,0)</f>
        <v>0</v>
      </c>
    </row>
    <row r="37" customFormat="false" ht="15" hidden="false" customHeight="false" outlineLevel="0" collapsed="false">
      <c r="A37" s="5" t="s">
        <v>135</v>
      </c>
      <c r="B37" s="18" t="n">
        <f aca="false">COUNTIF(Baseline!$K$6:$K$670,"Production Assessment")</f>
        <v>41</v>
      </c>
      <c r="C37" s="18" t="n">
        <f aca="false">COUNTIFS(Baseline!$K$6:$K$670,"Production Assessment",Baseline!$B$6:$B$670,"Y")</f>
        <v>41</v>
      </c>
      <c r="D37" s="18" t="n">
        <f aca="false">COUNTIFS(Baseline!$K$6:$K$670,"Production Assessment",Baseline!$B$6:$B$670,"Y",Baseline!$L$6:$L$670,"Y")</f>
        <v>18</v>
      </c>
      <c r="E37" s="18" t="n">
        <f aca="false">COUNTIFS(Baseline!$K$6:$K$670,"Production Assessment",Baseline!$B$6:$B$670,"Y",Baseline!$S$6:$S$670,"Accepted")</f>
        <v>0</v>
      </c>
      <c r="F37" s="18" t="n">
        <f aca="false">COUNTIFS(Baseline!$K$6:$K$670,"Production Assessment",Baseline!$B$6:$B$670,"Y",Baseline!$S$6:$S$670,"Gap")</f>
        <v>0</v>
      </c>
      <c r="G37" s="18" t="n">
        <f aca="false">COUNTIFS(Baseline!$K$6:$K$670,"Production Assessment",Baseline!$B$6:$B$670,"Y",Baseline!$S$6:$S$670,"Risk Accepted")</f>
        <v>0</v>
      </c>
      <c r="H37" s="19" t="n">
        <f aca="false">IFERROR((C37-COUNTIFS(Baseline!$K$6:$K$670,"Production Assessment",Baseline!$B$6:$B$670,"Y",Baseline!$S$6:$S$670,"Pending"))/C37,0)</f>
        <v>0</v>
      </c>
    </row>
    <row r="39" customFormat="false" ht="15" hidden="false" customHeight="false" outlineLevel="0" collapsed="false">
      <c r="A39" s="16" t="s">
        <v>136</v>
      </c>
      <c r="B39" s="15"/>
      <c r="C39" s="15"/>
      <c r="D39" s="15"/>
      <c r="E39" s="15"/>
      <c r="F39" s="15"/>
      <c r="G39" s="15"/>
      <c r="H39" s="15"/>
    </row>
    <row r="40" customFormat="false" ht="23.85" hidden="false" customHeight="false" outlineLevel="0" collapsed="false">
      <c r="A40" s="17" t="s">
        <v>137</v>
      </c>
      <c r="B40" s="17" t="s">
        <v>129</v>
      </c>
      <c r="C40" s="17" t="s">
        <v>106</v>
      </c>
      <c r="D40" s="17" t="s">
        <v>25</v>
      </c>
      <c r="E40" s="17" t="s">
        <v>118</v>
      </c>
      <c r="F40" s="17" t="s">
        <v>119</v>
      </c>
      <c r="G40" s="17" t="s">
        <v>120</v>
      </c>
      <c r="H40" s="17" t="s">
        <v>130</v>
      </c>
    </row>
    <row r="41" customFormat="false" ht="15" hidden="false" customHeight="false" outlineLevel="0" collapsed="false">
      <c r="A41" s="5" t="s">
        <v>138</v>
      </c>
      <c r="B41" s="18" t="n">
        <f aca="false">COUNTIF(Baseline!$C$6:$C$670,"AI Governance &amp; Accountability")</f>
        <v>12</v>
      </c>
      <c r="C41" s="18" t="n">
        <f aca="false">COUNTIFS(Baseline!$C$6:$C$670,"AI Governance &amp; Accountability",Baseline!$B$6:$B$670,"Y")</f>
        <v>12</v>
      </c>
      <c r="D41" s="18" t="n">
        <f aca="false">COUNTIFS(Baseline!$C$6:$C$670,"AI Governance &amp; Accountability",Baseline!$B$6:$B$670,"Y",Baseline!$L$6:$L$670,"Y")</f>
        <v>9</v>
      </c>
      <c r="E41" s="18" t="n">
        <f aca="false">COUNTIFS(Baseline!$C$6:$C$670,"AI Governance &amp; Accountability",Baseline!$B$6:$B$670,"Y",Baseline!$S$6:$S$670,"Accepted")</f>
        <v>0</v>
      </c>
      <c r="F41" s="18" t="n">
        <f aca="false">COUNTIFS(Baseline!$C$6:$C$670,"AI Governance &amp; Accountability",Baseline!$B$6:$B$670,"Y",Baseline!$S$6:$S$670,"Gap")</f>
        <v>0</v>
      </c>
      <c r="G41" s="18" t="n">
        <f aca="false">COUNTIFS(Baseline!$C$6:$C$670,"AI Governance &amp; Accountability",Baseline!$B$6:$B$670,"Y",Baseline!$S$6:$S$670,"Risk Accepted")</f>
        <v>0</v>
      </c>
      <c r="H41" s="19" t="n">
        <f aca="false">IFERROR((C41-COUNTIFS(Baseline!$C$6:$C$670,"AI Governance &amp; Accountability",Baseline!$B$6:$B$670,"Y",Baseline!$S$6:$S$670,"Pending"))/C41,0)</f>
        <v>0</v>
      </c>
    </row>
    <row r="42" customFormat="false" ht="15" hidden="false" customHeight="false" outlineLevel="0" collapsed="false">
      <c r="A42" s="5" t="s">
        <v>139</v>
      </c>
      <c r="B42" s="18" t="n">
        <f aca="false">COUNTIF(Baseline!$C$6:$C$670,"AI Risk &amp; Impact Management")</f>
        <v>10</v>
      </c>
      <c r="C42" s="18" t="n">
        <f aca="false">COUNTIFS(Baseline!$C$6:$C$670,"AI Risk &amp; Impact Management",Baseline!$B$6:$B$670,"Y")</f>
        <v>10</v>
      </c>
      <c r="D42" s="18" t="n">
        <f aca="false">COUNTIFS(Baseline!$C$6:$C$670,"AI Risk &amp; Impact Management",Baseline!$B$6:$B$670,"Y",Baseline!$L$6:$L$670,"Y")</f>
        <v>8</v>
      </c>
      <c r="E42" s="18" t="n">
        <f aca="false">COUNTIFS(Baseline!$C$6:$C$670,"AI Risk &amp; Impact Management",Baseline!$B$6:$B$670,"Y",Baseline!$S$6:$S$670,"Accepted")</f>
        <v>0</v>
      </c>
      <c r="F42" s="18" t="n">
        <f aca="false">COUNTIFS(Baseline!$C$6:$C$670,"AI Risk &amp; Impact Management",Baseline!$B$6:$B$670,"Y",Baseline!$S$6:$S$670,"Gap")</f>
        <v>0</v>
      </c>
      <c r="G42" s="18" t="n">
        <f aca="false">COUNTIFS(Baseline!$C$6:$C$670,"AI Risk &amp; Impact Management",Baseline!$B$6:$B$670,"Y",Baseline!$S$6:$S$670,"Risk Accepted")</f>
        <v>0</v>
      </c>
      <c r="H42" s="19" t="n">
        <f aca="false">IFERROR((C42-COUNTIFS(Baseline!$C$6:$C$670,"AI Risk &amp; Impact Management",Baseline!$B$6:$B$670,"Y",Baseline!$S$6:$S$670,"Pending"))/C42,0)</f>
        <v>0</v>
      </c>
    </row>
    <row r="43" customFormat="false" ht="15" hidden="false" customHeight="false" outlineLevel="0" collapsed="false">
      <c r="A43" s="5" t="s">
        <v>140</v>
      </c>
      <c r="B43" s="18" t="n">
        <f aca="false">COUNTIF(Baseline!$C$6:$C$670,"Data Governance &amp; Privacy")</f>
        <v>16</v>
      </c>
      <c r="C43" s="18" t="n">
        <f aca="false">COUNTIFS(Baseline!$C$6:$C$670,"Data Governance &amp; Privacy",Baseline!$B$6:$B$670,"Y")</f>
        <v>16</v>
      </c>
      <c r="D43" s="18" t="n">
        <f aca="false">COUNTIFS(Baseline!$C$6:$C$670,"Data Governance &amp; Privacy",Baseline!$B$6:$B$670,"Y",Baseline!$L$6:$L$670,"Y")</f>
        <v>14</v>
      </c>
      <c r="E43" s="18" t="n">
        <f aca="false">COUNTIFS(Baseline!$C$6:$C$670,"Data Governance &amp; Privacy",Baseline!$B$6:$B$670,"Y",Baseline!$S$6:$S$670,"Accepted")</f>
        <v>0</v>
      </c>
      <c r="F43" s="18" t="n">
        <f aca="false">COUNTIFS(Baseline!$C$6:$C$670,"Data Governance &amp; Privacy",Baseline!$B$6:$B$670,"Y",Baseline!$S$6:$S$670,"Gap")</f>
        <v>0</v>
      </c>
      <c r="G43" s="18" t="n">
        <f aca="false">COUNTIFS(Baseline!$C$6:$C$670,"Data Governance &amp; Privacy",Baseline!$B$6:$B$670,"Y",Baseline!$S$6:$S$670,"Risk Accepted")</f>
        <v>0</v>
      </c>
      <c r="H43" s="19" t="n">
        <f aca="false">IFERROR((C43-COUNTIFS(Baseline!$C$6:$C$670,"Data Governance &amp; Privacy",Baseline!$B$6:$B$670,"Y",Baseline!$S$6:$S$670,"Pending"))/C43,0)</f>
        <v>0</v>
      </c>
    </row>
    <row r="44" customFormat="false" ht="15" hidden="false" customHeight="false" outlineLevel="0" collapsed="false">
      <c r="A44" s="5" t="s">
        <v>141</v>
      </c>
      <c r="B44" s="18" t="n">
        <f aca="false">COUNTIF(Baseline!$C$6:$C$670,"Model Lifecycle &amp; Development Security")</f>
        <v>14</v>
      </c>
      <c r="C44" s="18" t="n">
        <f aca="false">COUNTIFS(Baseline!$C$6:$C$670,"Model Lifecycle &amp; Development Security",Baseline!$B$6:$B$670,"Y")</f>
        <v>14</v>
      </c>
      <c r="D44" s="18" t="n">
        <f aca="false">COUNTIFS(Baseline!$C$6:$C$670,"Model Lifecycle &amp; Development Security",Baseline!$B$6:$B$670,"Y",Baseline!$L$6:$L$670,"Y")</f>
        <v>10</v>
      </c>
      <c r="E44" s="18" t="n">
        <f aca="false">COUNTIFS(Baseline!$C$6:$C$670,"Model Lifecycle &amp; Development Security",Baseline!$B$6:$B$670,"Y",Baseline!$S$6:$S$670,"Accepted")</f>
        <v>0</v>
      </c>
      <c r="F44" s="18" t="n">
        <f aca="false">COUNTIFS(Baseline!$C$6:$C$670,"Model Lifecycle &amp; Development Security",Baseline!$B$6:$B$670,"Y",Baseline!$S$6:$S$670,"Gap")</f>
        <v>0</v>
      </c>
      <c r="G44" s="18" t="n">
        <f aca="false">COUNTIFS(Baseline!$C$6:$C$670,"Model Lifecycle &amp; Development Security",Baseline!$B$6:$B$670,"Y",Baseline!$S$6:$S$670,"Risk Accepted")</f>
        <v>0</v>
      </c>
      <c r="H44" s="19" t="n">
        <f aca="false">IFERROR((C44-COUNTIFS(Baseline!$C$6:$C$670,"Model Lifecycle &amp; Development Security",Baseline!$B$6:$B$670,"Y",Baseline!$S$6:$S$670,"Pending"))/C44,0)</f>
        <v>0</v>
      </c>
    </row>
    <row r="45" customFormat="false" ht="15" hidden="false" customHeight="false" outlineLevel="0" collapsed="false">
      <c r="A45" s="5" t="s">
        <v>142</v>
      </c>
      <c r="B45" s="18" t="n">
        <f aca="false">COUNTIF(Baseline!$C$6:$C$670,"AI Supply Chain &amp; Third-Party Risk")</f>
        <v>12</v>
      </c>
      <c r="C45" s="18" t="n">
        <f aca="false">COUNTIFS(Baseline!$C$6:$C$670,"AI Supply Chain &amp; Third-Party Risk",Baseline!$B$6:$B$670,"Y")</f>
        <v>12</v>
      </c>
      <c r="D45" s="18" t="n">
        <f aca="false">COUNTIFS(Baseline!$C$6:$C$670,"AI Supply Chain &amp; Third-Party Risk",Baseline!$B$6:$B$670,"Y",Baseline!$L$6:$L$670,"Y")</f>
        <v>8</v>
      </c>
      <c r="E45" s="18" t="n">
        <f aca="false">COUNTIFS(Baseline!$C$6:$C$670,"AI Supply Chain &amp; Third-Party Risk",Baseline!$B$6:$B$670,"Y",Baseline!$S$6:$S$670,"Accepted")</f>
        <v>0</v>
      </c>
      <c r="F45" s="18" t="n">
        <f aca="false">COUNTIFS(Baseline!$C$6:$C$670,"AI Supply Chain &amp; Third-Party Risk",Baseline!$B$6:$B$670,"Y",Baseline!$S$6:$S$670,"Gap")</f>
        <v>0</v>
      </c>
      <c r="G45" s="18" t="n">
        <f aca="false">COUNTIFS(Baseline!$C$6:$C$670,"AI Supply Chain &amp; Third-Party Risk",Baseline!$B$6:$B$670,"Y",Baseline!$S$6:$S$670,"Risk Accepted")</f>
        <v>0</v>
      </c>
      <c r="H45" s="19" t="n">
        <f aca="false">IFERROR((C45-COUNTIFS(Baseline!$C$6:$C$670,"AI Supply Chain &amp; Third-Party Risk",Baseline!$B$6:$B$670,"Y",Baseline!$S$6:$S$670,"Pending"))/C45,0)</f>
        <v>0</v>
      </c>
    </row>
    <row r="46" customFormat="false" ht="15" hidden="false" customHeight="false" outlineLevel="0" collapsed="false">
      <c r="A46" s="5" t="s">
        <v>143</v>
      </c>
      <c r="B46" s="18" t="n">
        <f aca="false">COUNTIF(Baseline!$C$6:$C$670,"Prompt &amp; Inference Security")</f>
        <v>15</v>
      </c>
      <c r="C46" s="18" t="n">
        <f aca="false">COUNTIFS(Baseline!$C$6:$C$670,"Prompt &amp; Inference Security",Baseline!$B$6:$B$670,"Y")</f>
        <v>15</v>
      </c>
      <c r="D46" s="18" t="n">
        <f aca="false">COUNTIFS(Baseline!$C$6:$C$670,"Prompt &amp; Inference Security",Baseline!$B$6:$B$670,"Y",Baseline!$L$6:$L$670,"Y")</f>
        <v>12</v>
      </c>
      <c r="E46" s="18" t="n">
        <f aca="false">COUNTIFS(Baseline!$C$6:$C$670,"Prompt &amp; Inference Security",Baseline!$B$6:$B$670,"Y",Baseline!$S$6:$S$670,"Accepted")</f>
        <v>0</v>
      </c>
      <c r="F46" s="18" t="n">
        <f aca="false">COUNTIFS(Baseline!$C$6:$C$670,"Prompt &amp; Inference Security",Baseline!$B$6:$B$670,"Y",Baseline!$S$6:$S$670,"Gap")</f>
        <v>0</v>
      </c>
      <c r="G46" s="18" t="n">
        <f aca="false">COUNTIFS(Baseline!$C$6:$C$670,"Prompt &amp; Inference Security",Baseline!$B$6:$B$670,"Y",Baseline!$S$6:$S$670,"Risk Accepted")</f>
        <v>0</v>
      </c>
      <c r="H46" s="19" t="n">
        <f aca="false">IFERROR((C46-COUNTIFS(Baseline!$C$6:$C$670,"Prompt &amp; Inference Security",Baseline!$B$6:$B$670,"Y",Baseline!$S$6:$S$670,"Pending"))/C46,0)</f>
        <v>0</v>
      </c>
    </row>
    <row r="47" customFormat="false" ht="15" hidden="false" customHeight="false" outlineLevel="0" collapsed="false">
      <c r="A47" s="5" t="s">
        <v>144</v>
      </c>
      <c r="B47" s="18" t="n">
        <f aca="false">COUNTIF(Baseline!$C$6:$C$670,"Agentic AI &amp; Tool Use Security")</f>
        <v>18</v>
      </c>
      <c r="C47" s="18" t="n">
        <f aca="false">COUNTIFS(Baseline!$C$6:$C$670,"Agentic AI &amp; Tool Use Security",Baseline!$B$6:$B$670,"Y")</f>
        <v>18</v>
      </c>
      <c r="D47" s="18" t="n">
        <f aca="false">COUNTIFS(Baseline!$C$6:$C$670,"Agentic AI &amp; Tool Use Security",Baseline!$B$6:$B$670,"Y",Baseline!$L$6:$L$670,"Y")</f>
        <v>12</v>
      </c>
      <c r="E47" s="18" t="n">
        <f aca="false">COUNTIFS(Baseline!$C$6:$C$670,"Agentic AI &amp; Tool Use Security",Baseline!$B$6:$B$670,"Y",Baseline!$S$6:$S$670,"Accepted")</f>
        <v>0</v>
      </c>
      <c r="F47" s="18" t="n">
        <f aca="false">COUNTIFS(Baseline!$C$6:$C$670,"Agentic AI &amp; Tool Use Security",Baseline!$B$6:$B$670,"Y",Baseline!$S$6:$S$670,"Gap")</f>
        <v>0</v>
      </c>
      <c r="G47" s="18" t="n">
        <f aca="false">COUNTIFS(Baseline!$C$6:$C$670,"Agentic AI &amp; Tool Use Security",Baseline!$B$6:$B$670,"Y",Baseline!$S$6:$S$670,"Risk Accepted")</f>
        <v>0</v>
      </c>
      <c r="H47" s="19" t="n">
        <f aca="false">IFERROR((C47-COUNTIFS(Baseline!$C$6:$C$670,"Agentic AI &amp; Tool Use Security",Baseline!$B$6:$B$670,"Y",Baseline!$S$6:$S$670,"Pending"))/C47,0)</f>
        <v>0</v>
      </c>
    </row>
    <row r="48" customFormat="false" ht="15" hidden="false" customHeight="false" outlineLevel="0" collapsed="false">
      <c r="A48" s="5" t="s">
        <v>145</v>
      </c>
      <c r="B48" s="18" t="n">
        <f aca="false">COUNTIF(Baseline!$C$6:$C$670,"Identity, Access &amp; Secrets Management")</f>
        <v>10</v>
      </c>
      <c r="C48" s="18" t="n">
        <f aca="false">COUNTIFS(Baseline!$C$6:$C$670,"Identity, Access &amp; Secrets Management",Baseline!$B$6:$B$670,"Y")</f>
        <v>10</v>
      </c>
      <c r="D48" s="18" t="n">
        <f aca="false">COUNTIFS(Baseline!$C$6:$C$670,"Identity, Access &amp; Secrets Management",Baseline!$B$6:$B$670,"Y",Baseline!$L$6:$L$670,"Y")</f>
        <v>9</v>
      </c>
      <c r="E48" s="18" t="n">
        <f aca="false">COUNTIFS(Baseline!$C$6:$C$670,"Identity, Access &amp; Secrets Management",Baseline!$B$6:$B$670,"Y",Baseline!$S$6:$S$670,"Accepted")</f>
        <v>0</v>
      </c>
      <c r="F48" s="18" t="n">
        <f aca="false">COUNTIFS(Baseline!$C$6:$C$670,"Identity, Access &amp; Secrets Management",Baseline!$B$6:$B$670,"Y",Baseline!$S$6:$S$670,"Gap")</f>
        <v>0</v>
      </c>
      <c r="G48" s="18" t="n">
        <f aca="false">COUNTIFS(Baseline!$C$6:$C$670,"Identity, Access &amp; Secrets Management",Baseline!$B$6:$B$670,"Y",Baseline!$S$6:$S$670,"Risk Accepted")</f>
        <v>0</v>
      </c>
      <c r="H48" s="19" t="n">
        <f aca="false">IFERROR((C48-COUNTIFS(Baseline!$C$6:$C$670,"Identity, Access &amp; Secrets Management",Baseline!$B$6:$B$670,"Y",Baseline!$S$6:$S$670,"Pending"))/C48,0)</f>
        <v>0</v>
      </c>
    </row>
    <row r="49" customFormat="false" ht="15" hidden="false" customHeight="false" outlineLevel="0" collapsed="false">
      <c r="A49" s="5" t="s">
        <v>146</v>
      </c>
      <c r="B49" s="18" t="n">
        <f aca="false">COUNTIF(Baseline!$C$6:$C$670,"Platform &amp; Infrastructure Security")</f>
        <v>12</v>
      </c>
      <c r="C49" s="18" t="n">
        <f aca="false">COUNTIFS(Baseline!$C$6:$C$670,"Platform &amp; Infrastructure Security",Baseline!$B$6:$B$670,"Y")</f>
        <v>12</v>
      </c>
      <c r="D49" s="18" t="n">
        <f aca="false">COUNTIFS(Baseline!$C$6:$C$670,"Platform &amp; Infrastructure Security",Baseline!$B$6:$B$670,"Y",Baseline!$L$6:$L$670,"Y")</f>
        <v>6</v>
      </c>
      <c r="E49" s="18" t="n">
        <f aca="false">COUNTIFS(Baseline!$C$6:$C$670,"Platform &amp; Infrastructure Security",Baseline!$B$6:$B$670,"Y",Baseline!$S$6:$S$670,"Accepted")</f>
        <v>0</v>
      </c>
      <c r="F49" s="18" t="n">
        <f aca="false">COUNTIFS(Baseline!$C$6:$C$670,"Platform &amp; Infrastructure Security",Baseline!$B$6:$B$670,"Y",Baseline!$S$6:$S$670,"Gap")</f>
        <v>0</v>
      </c>
      <c r="G49" s="18" t="n">
        <f aca="false">COUNTIFS(Baseline!$C$6:$C$670,"Platform &amp; Infrastructure Security",Baseline!$B$6:$B$670,"Y",Baseline!$S$6:$S$670,"Risk Accepted")</f>
        <v>0</v>
      </c>
      <c r="H49" s="19" t="n">
        <f aca="false">IFERROR((C49-COUNTIFS(Baseline!$C$6:$C$670,"Platform &amp; Infrastructure Security",Baseline!$B$6:$B$670,"Y",Baseline!$S$6:$S$670,"Pending"))/C49,0)</f>
        <v>0</v>
      </c>
    </row>
    <row r="50" customFormat="false" ht="15" hidden="false" customHeight="false" outlineLevel="0" collapsed="false">
      <c r="A50" s="5" t="s">
        <v>147</v>
      </c>
      <c r="B50" s="18" t="n">
        <f aca="false">COUNTIF(Baseline!$C$6:$C$670,"Logging, Monitoring &amp; Detection")</f>
        <v>12</v>
      </c>
      <c r="C50" s="18" t="n">
        <f aca="false">COUNTIFS(Baseline!$C$6:$C$670,"Logging, Monitoring &amp; Detection",Baseline!$B$6:$B$670,"Y")</f>
        <v>12</v>
      </c>
      <c r="D50" s="18" t="n">
        <f aca="false">COUNTIFS(Baseline!$C$6:$C$670,"Logging, Monitoring &amp; Detection",Baseline!$B$6:$B$670,"Y",Baseline!$L$6:$L$670,"Y")</f>
        <v>5</v>
      </c>
      <c r="E50" s="18" t="n">
        <f aca="false">COUNTIFS(Baseline!$C$6:$C$670,"Logging, Monitoring &amp; Detection",Baseline!$B$6:$B$670,"Y",Baseline!$S$6:$S$670,"Accepted")</f>
        <v>0</v>
      </c>
      <c r="F50" s="18" t="n">
        <f aca="false">COUNTIFS(Baseline!$C$6:$C$670,"Logging, Monitoring &amp; Detection",Baseline!$B$6:$B$670,"Y",Baseline!$S$6:$S$670,"Gap")</f>
        <v>0</v>
      </c>
      <c r="G50" s="18" t="n">
        <f aca="false">COUNTIFS(Baseline!$C$6:$C$670,"Logging, Monitoring &amp; Detection",Baseline!$B$6:$B$670,"Y",Baseline!$S$6:$S$670,"Risk Accepted")</f>
        <v>0</v>
      </c>
      <c r="H50" s="19" t="n">
        <f aca="false">IFERROR((C50-COUNTIFS(Baseline!$C$6:$C$670,"Logging, Monitoring &amp; Detection",Baseline!$B$6:$B$670,"Y",Baseline!$S$6:$S$670,"Pending"))/C50,0)</f>
        <v>0</v>
      </c>
    </row>
    <row r="51" customFormat="false" ht="23.85" hidden="false" customHeight="false" outlineLevel="0" collapsed="false">
      <c r="A51" s="5" t="s">
        <v>148</v>
      </c>
      <c r="B51" s="18" t="n">
        <f aca="false">COUNTIF(Baseline!$C$6:$C$670,"Transparency, Explainability &amp; Human Oversight")</f>
        <v>10</v>
      </c>
      <c r="C51" s="18" t="n">
        <f aca="false">COUNTIFS(Baseline!$C$6:$C$670,"Transparency, Explainability &amp; Human Oversight",Baseline!$B$6:$B$670,"Y")</f>
        <v>10</v>
      </c>
      <c r="D51" s="18" t="n">
        <f aca="false">COUNTIFS(Baseline!$C$6:$C$670,"Transparency, Explainability &amp; Human Oversight",Baseline!$B$6:$B$670,"Y",Baseline!$L$6:$L$670,"Y")</f>
        <v>5</v>
      </c>
      <c r="E51" s="18" t="n">
        <f aca="false">COUNTIFS(Baseline!$C$6:$C$670,"Transparency, Explainability &amp; Human Oversight",Baseline!$B$6:$B$670,"Y",Baseline!$S$6:$S$670,"Accepted")</f>
        <v>0</v>
      </c>
      <c r="F51" s="18" t="n">
        <f aca="false">COUNTIFS(Baseline!$C$6:$C$670,"Transparency, Explainability &amp; Human Oversight",Baseline!$B$6:$B$670,"Y",Baseline!$S$6:$S$670,"Gap")</f>
        <v>0</v>
      </c>
      <c r="G51" s="18" t="n">
        <f aca="false">COUNTIFS(Baseline!$C$6:$C$670,"Transparency, Explainability &amp; Human Oversight",Baseline!$B$6:$B$670,"Y",Baseline!$S$6:$S$670,"Risk Accepted")</f>
        <v>0</v>
      </c>
      <c r="H51" s="19" t="n">
        <f aca="false">IFERROR((C51-COUNTIFS(Baseline!$C$6:$C$670,"Transparency, Explainability &amp; Human Oversight",Baseline!$B$6:$B$670,"Y",Baseline!$S$6:$S$670,"Pending"))/C51,0)</f>
        <v>0</v>
      </c>
    </row>
    <row r="52" customFormat="false" ht="15" hidden="false" customHeight="false" outlineLevel="0" collapsed="false">
      <c r="A52" s="5" t="s">
        <v>149</v>
      </c>
      <c r="B52" s="18" t="n">
        <f aca="false">COUNTIF(Baseline!$C$6:$C$670,"Incident Response &amp; Resilience")</f>
        <v>8</v>
      </c>
      <c r="C52" s="18" t="n">
        <f aca="false">COUNTIFS(Baseline!$C$6:$C$670,"Incident Response &amp; Resilience",Baseline!$B$6:$B$670,"Y")</f>
        <v>8</v>
      </c>
      <c r="D52" s="18" t="n">
        <f aca="false">COUNTIFS(Baseline!$C$6:$C$670,"Incident Response &amp; Resilience",Baseline!$B$6:$B$670,"Y",Baseline!$L$6:$L$670,"Y")</f>
        <v>5</v>
      </c>
      <c r="E52" s="18" t="n">
        <f aca="false">COUNTIFS(Baseline!$C$6:$C$670,"Incident Response &amp; Resilience",Baseline!$B$6:$B$670,"Y",Baseline!$S$6:$S$670,"Accepted")</f>
        <v>0</v>
      </c>
      <c r="F52" s="18" t="n">
        <f aca="false">COUNTIFS(Baseline!$C$6:$C$670,"Incident Response &amp; Resilience",Baseline!$B$6:$B$670,"Y",Baseline!$S$6:$S$670,"Gap")</f>
        <v>0</v>
      </c>
      <c r="G52" s="18" t="n">
        <f aca="false">COUNTIFS(Baseline!$C$6:$C$670,"Incident Response &amp; Resilience",Baseline!$B$6:$B$670,"Y",Baseline!$S$6:$S$670,"Risk Accepted")</f>
        <v>0</v>
      </c>
      <c r="H52" s="19" t="n">
        <f aca="false">IFERROR((C52-COUNTIFS(Baseline!$C$6:$C$670,"Incident Response &amp; Resilience",Baseline!$B$6:$B$670,"Y",Baseline!$S$6:$S$670,"Pending"))/C52,0)</f>
        <v>0</v>
      </c>
    </row>
    <row r="53" customFormat="false" ht="15" hidden="false" customHeight="false" outlineLevel="0" collapsed="false">
      <c r="A53" s="5" t="s">
        <v>150</v>
      </c>
      <c r="B53" s="18" t="n">
        <f aca="false">COUNTIF(Baseline!$C$6:$C$670,"Secure Operations &amp; Change Management")</f>
        <v>8</v>
      </c>
      <c r="C53" s="18" t="n">
        <f aca="false">COUNTIFS(Baseline!$C$6:$C$670,"Secure Operations &amp; Change Management",Baseline!$B$6:$B$670,"Y")</f>
        <v>8</v>
      </c>
      <c r="D53" s="18" t="n">
        <f aca="false">COUNTIFS(Baseline!$C$6:$C$670,"Secure Operations &amp; Change Management",Baseline!$B$6:$B$670,"Y",Baseline!$L$6:$L$670,"Y")</f>
        <v>6</v>
      </c>
      <c r="E53" s="18" t="n">
        <f aca="false">COUNTIFS(Baseline!$C$6:$C$670,"Secure Operations &amp; Change Management",Baseline!$B$6:$B$670,"Y",Baseline!$S$6:$S$670,"Accepted")</f>
        <v>0</v>
      </c>
      <c r="F53" s="18" t="n">
        <f aca="false">COUNTIFS(Baseline!$C$6:$C$670,"Secure Operations &amp; Change Management",Baseline!$B$6:$B$670,"Y",Baseline!$S$6:$S$670,"Gap")</f>
        <v>0</v>
      </c>
      <c r="G53" s="18" t="n">
        <f aca="false">COUNTIFS(Baseline!$C$6:$C$670,"Secure Operations &amp; Change Management",Baseline!$B$6:$B$670,"Y",Baseline!$S$6:$S$670,"Risk Accepted")</f>
        <v>0</v>
      </c>
      <c r="H53" s="19" t="n">
        <f aca="false">IFERROR((C53-COUNTIFS(Baseline!$C$6:$C$670,"Secure Operations &amp; Change Management",Baseline!$B$6:$B$670,"Y",Baseline!$S$6:$S$670,"Pending"))/C53,0)</f>
        <v>0</v>
      </c>
    </row>
    <row r="54" customFormat="false" ht="15" hidden="false" customHeight="false" outlineLevel="0" collapsed="false">
      <c r="A54" s="5" t="s">
        <v>151</v>
      </c>
      <c r="B54" s="18" t="n">
        <f aca="false">COUNTIF(Baseline!$C$6:$C$670,"Legal, Regulatory &amp; Compliance")</f>
        <v>8</v>
      </c>
      <c r="C54" s="18" t="n">
        <f aca="false">COUNTIFS(Baseline!$C$6:$C$670,"Legal, Regulatory &amp; Compliance",Baseline!$B$6:$B$670,"Y")</f>
        <v>8</v>
      </c>
      <c r="D54" s="18" t="n">
        <f aca="false">COUNTIFS(Baseline!$C$6:$C$670,"Legal, Regulatory &amp; Compliance",Baseline!$B$6:$B$670,"Y",Baseline!$L$6:$L$670,"Y")</f>
        <v>3</v>
      </c>
      <c r="E54" s="18" t="n">
        <f aca="false">COUNTIFS(Baseline!$C$6:$C$670,"Legal, Regulatory &amp; Compliance",Baseline!$B$6:$B$670,"Y",Baseline!$S$6:$S$670,"Accepted")</f>
        <v>0</v>
      </c>
      <c r="F54" s="18" t="n">
        <f aca="false">COUNTIFS(Baseline!$C$6:$C$670,"Legal, Regulatory &amp; Compliance",Baseline!$B$6:$B$670,"Y",Baseline!$S$6:$S$670,"Gap")</f>
        <v>0</v>
      </c>
      <c r="G54" s="18" t="n">
        <f aca="false">COUNTIFS(Baseline!$C$6:$C$670,"Legal, Regulatory &amp; Compliance",Baseline!$B$6:$B$670,"Y",Baseline!$S$6:$S$670,"Risk Accepted")</f>
        <v>0</v>
      </c>
      <c r="H54" s="19" t="n">
        <f aca="false">IFERROR((C54-COUNTIFS(Baseline!$C$6:$C$670,"Legal, Regulatory &amp; Compliance",Baseline!$B$6:$B$670,"Y",Baseline!$S$6:$S$670,"Pending"))/C54,0)</f>
        <v>0</v>
      </c>
    </row>
    <row r="56" customFormat="false" ht="15" hidden="false" customHeight="false" outlineLevel="0" collapsed="false">
      <c r="A56" s="16" t="s">
        <v>152</v>
      </c>
      <c r="B56" s="15"/>
      <c r="C56" s="15"/>
    </row>
    <row r="57" customFormat="false" ht="15" hidden="false" customHeight="false" outlineLevel="0" collapsed="false">
      <c r="A57" s="17" t="s">
        <v>153</v>
      </c>
      <c r="B57" s="17" t="s">
        <v>154</v>
      </c>
      <c r="C57" s="17" t="s">
        <v>106</v>
      </c>
    </row>
    <row r="58" customFormat="false" ht="15" hidden="false" customHeight="false" outlineLevel="0" collapsed="false">
      <c r="A58" s="5" t="s">
        <v>155</v>
      </c>
      <c r="B58" s="18" t="n">
        <f aca="false">COUNTIFS(Baseline!$F$6:$F$670,"&lt;&gt;-",Baseline!$F$6:$F$670,"&lt;&gt;")</f>
        <v>165</v>
      </c>
      <c r="C58" s="18" t="n">
        <f aca="false">COUNTIFS(Baseline!$F$6:$F$670,"&lt;&gt;-",Baseline!$F$6:$F$670,"&lt;&gt;",Baseline!$B$6:$B$670,"Y")</f>
        <v>165</v>
      </c>
    </row>
    <row r="59" customFormat="false" ht="15" hidden="false" customHeight="false" outlineLevel="0" collapsed="false">
      <c r="A59" s="5" t="s">
        <v>156</v>
      </c>
      <c r="B59" s="18" t="n">
        <f aca="false">COUNTIFS(Baseline!$G$6:$G$670,"&lt;&gt;-",Baseline!$G$6:$G$670,"&lt;&gt;")</f>
        <v>165</v>
      </c>
      <c r="C59" s="18" t="n">
        <f aca="false">COUNTIFS(Baseline!$G$6:$G$670,"&lt;&gt;-",Baseline!$G$6:$G$670,"&lt;&gt;",Baseline!$B$6:$B$670,"Y")</f>
        <v>165</v>
      </c>
    </row>
    <row r="60" customFormat="false" ht="15" hidden="false" customHeight="false" outlineLevel="0" collapsed="false">
      <c r="A60" s="5" t="s">
        <v>157</v>
      </c>
      <c r="B60" s="18" t="n">
        <f aca="false">COUNTIFS(Baseline!$H$6:$H$670,"&lt;&gt;-",Baseline!$H$6:$H$670,"&lt;&gt;")</f>
        <v>160</v>
      </c>
      <c r="C60" s="18" t="n">
        <f aca="false">COUNTIFS(Baseline!$H$6:$H$670,"&lt;&gt;-",Baseline!$H$6:$H$670,"&lt;&gt;",Baseline!$B$6:$B$670,"Y")</f>
        <v>160</v>
      </c>
    </row>
    <row r="61" customFormat="false" ht="15" hidden="false" customHeight="false" outlineLevel="0" collapsed="false">
      <c r="A61" s="5" t="s">
        <v>158</v>
      </c>
      <c r="B61" s="18" t="n">
        <f aca="false">COUNTIFS(Baseline!$I$6:$I$670,"&lt;&gt;-",Baseline!$I$6:$I$670,"&lt;&gt;")</f>
        <v>103</v>
      </c>
      <c r="C61" s="18" t="n">
        <f aca="false">COUNTIFS(Baseline!$I$6:$I$670,"&lt;&gt;-",Baseline!$I$6:$I$670,"&lt;&gt;",Baseline!$B$6:$B$670,"Y")</f>
        <v>103</v>
      </c>
    </row>
    <row r="62" customFormat="false" ht="15" hidden="false" customHeight="false" outlineLevel="0" collapsed="false">
      <c r="A62" s="5" t="s">
        <v>159</v>
      </c>
      <c r="B62" s="18" t="n">
        <f aca="false">COUNTIFS(Baseline!$J$6:$J$670,"&lt;&gt;-",Baseline!$J$6:$J$670,"&lt;&gt;")</f>
        <v>101</v>
      </c>
      <c r="C62" s="18" t="n">
        <f aca="false">COUNTIFS(Baseline!$J$6:$J$670,"&lt;&gt;-",Baseline!$J$6:$J$670,"&lt;&gt;",Baseline!$B$6:$B$670,"Y")</f>
        <v>101</v>
      </c>
    </row>
    <row r="64" customFormat="false" ht="15" hidden="false" customHeight="false" outlineLevel="0" collapsed="false">
      <c r="A64" s="16" t="s">
        <v>160</v>
      </c>
      <c r="B64" s="15"/>
    </row>
    <row r="65" customFormat="false" ht="15" hidden="false" customHeight="false" outlineLevel="0" collapsed="false">
      <c r="A65" s="17" t="s">
        <v>103</v>
      </c>
      <c r="B65" s="17" t="s">
        <v>104</v>
      </c>
    </row>
    <row r="66" customFormat="false" ht="15" hidden="false" customHeight="false" outlineLevel="0" collapsed="false">
      <c r="A66" s="5" t="s">
        <v>161</v>
      </c>
      <c r="B66" s="18" t="n">
        <f aca="false">COUNTIF('UAE and Dubai Overlay'!$B$5:$B$519,"Y")</f>
        <v>15</v>
      </c>
    </row>
    <row r="67" customFormat="false" ht="15" hidden="false" customHeight="false" outlineLevel="0" collapsed="false">
      <c r="A67" s="5" t="s">
        <v>162</v>
      </c>
      <c r="B67" s="18" t="n">
        <f aca="false">COUNTIFS('UAE and Dubai Overlay'!$B$5:$B$519,"Y",'UAE and Dubai Overlay'!$W$5:$W$519,"&lt;&gt;Pending",'UAE and Dubai Overlay'!$W$5:$W$519,"&lt;&gt;")</f>
        <v>0</v>
      </c>
    </row>
    <row r="68" customFormat="false" ht="15" hidden="false" customHeight="false" outlineLevel="0" collapsed="false">
      <c r="A68" s="5" t="s">
        <v>163</v>
      </c>
      <c r="B68" s="18" t="n">
        <f aca="false">COUNTIFS('UAE and Dubai Overlay'!$B$5:$B$519,"Y",'UAE and Dubai Overlay'!$W$5:$W$519,"Gap")</f>
        <v>0</v>
      </c>
    </row>
    <row r="70" customFormat="false" ht="15" hidden="false" customHeight="false" outlineLevel="0" collapsed="false">
      <c r="A70" s="3" t="s">
        <v>164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4E79"/>
    <pageSetUpPr fitToPage="false"/>
  </sheetPr>
  <dimension ref="A1:X17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9"/>
    <col collapsed="false" customWidth="true" hidden="false" outlineLevel="0" max="3" min="3" style="0" width="22"/>
    <col collapsed="false" customWidth="true" hidden="false" outlineLevel="0" max="4" min="4" style="0" width="20"/>
    <col collapsed="false" customWidth="true" hidden="false" outlineLevel="0" max="5" min="5" style="0" width="60"/>
    <col collapsed="false" customWidth="true" hidden="false" outlineLevel="0" max="7" min="6" style="0" width="16"/>
    <col collapsed="false" customWidth="true" hidden="false" outlineLevel="0" max="8" min="8" style="0" width="14"/>
    <col collapsed="false" customWidth="true" hidden="false" outlineLevel="0" max="10" min="9" style="0" width="12"/>
    <col collapsed="false" customWidth="true" hidden="false" outlineLevel="0" max="11" min="11" style="0" width="16"/>
    <col collapsed="false" customWidth="true" hidden="false" outlineLevel="0" max="12" min="12" style="0" width="10"/>
    <col collapsed="false" customWidth="true" hidden="false" outlineLevel="0" max="13" min="13" style="0" width="14"/>
    <col collapsed="false" customWidth="true" hidden="false" outlineLevel="0" max="14" min="14" style="0" width="11"/>
    <col collapsed="false" customWidth="true" hidden="false" outlineLevel="0" max="15" min="15" style="0" width="40"/>
    <col collapsed="false" customWidth="true" hidden="false" outlineLevel="0" max="16" min="16" style="0" width="18"/>
    <col collapsed="false" customWidth="true" hidden="false" outlineLevel="0" max="17" min="17" style="0" width="40"/>
    <col collapsed="false" customWidth="true" hidden="false" outlineLevel="0" max="18" min="18" style="0" width="26"/>
    <col collapsed="false" customWidth="true" hidden="false" outlineLevel="0" max="19" min="19" style="0" width="13"/>
    <col collapsed="false" customWidth="true" hidden="false" outlineLevel="0" max="20" min="20" style="0" width="36"/>
    <col collapsed="false" customWidth="true" hidden="false" outlineLevel="0" max="21" min="21" style="0" width="26"/>
  </cols>
  <sheetData>
    <row r="1" customFormat="false" ht="30" hidden="false" customHeight="true" outlineLevel="0" collapsed="false">
      <c r="A1" s="20" t="s">
        <v>0</v>
      </c>
      <c r="B1" s="21"/>
      <c r="C1" s="21"/>
      <c r="D1" s="21"/>
      <c r="E1" s="21"/>
      <c r="F1" s="21"/>
      <c r="G1" s="21"/>
      <c r="H1" s="21"/>
      <c r="I1" s="21"/>
      <c r="J1" s="21"/>
      <c r="K1" s="21"/>
      <c r="L1" s="21"/>
      <c r="M1" s="21"/>
      <c r="N1" s="21"/>
      <c r="O1" s="21"/>
      <c r="P1" s="21"/>
      <c r="Q1" s="21"/>
      <c r="R1" s="21"/>
      <c r="S1" s="21"/>
      <c r="T1" s="21"/>
      <c r="U1" s="21"/>
      <c r="V1" s="21"/>
      <c r="W1" s="21"/>
      <c r="X1" s="21"/>
    </row>
    <row r="2" customFormat="false" ht="15" hidden="false" customHeight="false" outlineLevel="0" collapsed="false">
      <c r="A2" s="3" t="s">
        <v>165</v>
      </c>
    </row>
    <row r="4" customFormat="false" ht="45" hidden="false" customHeight="true" outlineLevel="0" collapsed="false">
      <c r="A4" s="22" t="s">
        <v>21</v>
      </c>
      <c r="B4" s="23" t="s">
        <v>166</v>
      </c>
      <c r="C4" s="22" t="s">
        <v>137</v>
      </c>
      <c r="D4" s="22" t="s">
        <v>167</v>
      </c>
      <c r="E4" s="22" t="s">
        <v>168</v>
      </c>
      <c r="F4" s="22" t="s">
        <v>155</v>
      </c>
      <c r="G4" s="22" t="s">
        <v>156</v>
      </c>
      <c r="H4" s="22" t="s">
        <v>157</v>
      </c>
      <c r="I4" s="22" t="s">
        <v>158</v>
      </c>
      <c r="J4" s="22" t="s">
        <v>159</v>
      </c>
      <c r="K4" s="22" t="s">
        <v>23</v>
      </c>
      <c r="L4" s="23" t="s">
        <v>25</v>
      </c>
      <c r="M4" s="22" t="s">
        <v>27</v>
      </c>
      <c r="N4" s="24" t="s">
        <v>29</v>
      </c>
      <c r="O4" s="24" t="s">
        <v>169</v>
      </c>
      <c r="P4" s="24" t="s">
        <v>170</v>
      </c>
      <c r="Q4" s="22" t="s">
        <v>171</v>
      </c>
      <c r="R4" s="24" t="s">
        <v>172</v>
      </c>
      <c r="S4" s="23" t="s">
        <v>31</v>
      </c>
      <c r="T4" s="23" t="s">
        <v>173</v>
      </c>
      <c r="U4" s="25" t="s">
        <v>174</v>
      </c>
    </row>
    <row r="5" customFormat="false" ht="46.25" hidden="false" customHeight="false" outlineLevel="0" collapsed="false">
      <c r="A5" s="26" t="s">
        <v>175</v>
      </c>
      <c r="B5" s="27" t="s">
        <v>176</v>
      </c>
      <c r="C5" s="28" t="s">
        <v>177</v>
      </c>
      <c r="D5" s="28" t="s">
        <v>178</v>
      </c>
      <c r="E5" s="28" t="s">
        <v>179</v>
      </c>
      <c r="F5" s="28" t="s">
        <v>180</v>
      </c>
      <c r="G5" s="28" t="s">
        <v>181</v>
      </c>
      <c r="H5" s="28" t="s">
        <v>182</v>
      </c>
      <c r="I5" s="28" t="s">
        <v>183</v>
      </c>
      <c r="J5" s="28" t="s">
        <v>184</v>
      </c>
      <c r="K5" s="28" t="s">
        <v>133</v>
      </c>
      <c r="L5" s="27" t="s">
        <v>176</v>
      </c>
      <c r="M5" s="27" t="s">
        <v>185</v>
      </c>
      <c r="N5" s="27" t="s">
        <v>126</v>
      </c>
      <c r="O5" s="28" t="s">
        <v>186</v>
      </c>
      <c r="P5" s="28" t="s">
        <v>187</v>
      </c>
      <c r="Q5" s="28" t="s">
        <v>188</v>
      </c>
      <c r="R5" s="28" t="s">
        <v>189</v>
      </c>
      <c r="S5" s="27" t="s">
        <v>119</v>
      </c>
      <c r="T5" s="28" t="s">
        <v>190</v>
      </c>
      <c r="U5" s="29" t="str">
        <f aca="false">IF(B5&lt;&gt;"Y","Out of scope",IF(N5="","Awaiting response",IF(AND(OR(N5="Yes",N5="Partial"),O5=""),"No detail: treat as unanswered",IF(AND(N5="Yes",R5=""),"No evidence link",IF(AND(S5="Gap",T5=""),"Gap needs owner and date in Comments","OK")))))</f>
        <v>OK</v>
      </c>
    </row>
    <row r="6" customFormat="false" ht="35.05" hidden="false" customHeight="false" outlineLevel="0" collapsed="false">
      <c r="A6" s="30" t="s">
        <v>191</v>
      </c>
      <c r="B6" s="31" t="s">
        <v>176</v>
      </c>
      <c r="C6" s="6" t="s">
        <v>138</v>
      </c>
      <c r="D6" s="6" t="s">
        <v>192</v>
      </c>
      <c r="E6" s="6" t="s">
        <v>193</v>
      </c>
      <c r="F6" s="6" t="s">
        <v>194</v>
      </c>
      <c r="G6" s="6" t="s">
        <v>195</v>
      </c>
      <c r="H6" s="6" t="s">
        <v>196</v>
      </c>
      <c r="I6" s="6" t="s">
        <v>197</v>
      </c>
      <c r="J6" s="6" t="s">
        <v>197</v>
      </c>
      <c r="K6" s="6" t="s">
        <v>131</v>
      </c>
      <c r="L6" s="31" t="s">
        <v>176</v>
      </c>
      <c r="M6" s="32" t="s">
        <v>185</v>
      </c>
      <c r="N6" s="33"/>
      <c r="O6" s="34"/>
      <c r="P6" s="34" t="s">
        <v>198</v>
      </c>
      <c r="Q6" s="6" t="s">
        <v>199</v>
      </c>
      <c r="R6" s="34"/>
      <c r="S6" s="31" t="s">
        <v>117</v>
      </c>
      <c r="T6" s="35"/>
      <c r="U6" s="29" t="str">
        <f aca="false">IF(B6&lt;&gt;"Y","Out of scope",IF(N6="","Awaiting response",IF(AND(OR(N6="Yes",N6="Partial"),O6=""),"No detail: treat as unanswered",IF(AND(N6="Yes",R6=""),"No evidence link",IF(AND(S6="Gap",T6=""),"Gap needs owner and date in Comments","OK")))))</f>
        <v>Awaiting response</v>
      </c>
    </row>
    <row r="7" customFormat="false" ht="35.05" hidden="false" customHeight="false" outlineLevel="0" collapsed="false">
      <c r="A7" s="30" t="s">
        <v>200</v>
      </c>
      <c r="B7" s="31" t="s">
        <v>176</v>
      </c>
      <c r="C7" s="6" t="s">
        <v>138</v>
      </c>
      <c r="D7" s="6" t="s">
        <v>201</v>
      </c>
      <c r="E7" s="6" t="s">
        <v>202</v>
      </c>
      <c r="F7" s="6" t="s">
        <v>203</v>
      </c>
      <c r="G7" s="6" t="s">
        <v>204</v>
      </c>
      <c r="H7" s="6" t="s">
        <v>205</v>
      </c>
      <c r="I7" s="6" t="s">
        <v>197</v>
      </c>
      <c r="J7" s="6" t="s">
        <v>206</v>
      </c>
      <c r="K7" s="6" t="s">
        <v>131</v>
      </c>
      <c r="L7" s="31" t="s">
        <v>176</v>
      </c>
      <c r="M7" s="32" t="s">
        <v>185</v>
      </c>
      <c r="N7" s="33"/>
      <c r="O7" s="34"/>
      <c r="P7" s="34" t="s">
        <v>198</v>
      </c>
      <c r="Q7" s="6" t="s">
        <v>207</v>
      </c>
      <c r="R7" s="34"/>
      <c r="S7" s="31" t="s">
        <v>117</v>
      </c>
      <c r="T7" s="35"/>
      <c r="U7" s="29" t="str">
        <f aca="false">IF(B7&lt;&gt;"Y","Out of scope",IF(N7="","Awaiting response",IF(AND(OR(N7="Yes",N7="Partial"),O7=""),"No detail: treat as unanswered",IF(AND(N7="Yes",R7=""),"No evidence link",IF(AND(S7="Gap",T7=""),"Gap needs owner and date in Comments","OK")))))</f>
        <v>Awaiting response</v>
      </c>
    </row>
    <row r="8" customFormat="false" ht="35.05" hidden="false" customHeight="false" outlineLevel="0" collapsed="false">
      <c r="A8" s="30" t="s">
        <v>208</v>
      </c>
      <c r="B8" s="31" t="s">
        <v>176</v>
      </c>
      <c r="C8" s="6" t="s">
        <v>138</v>
      </c>
      <c r="D8" s="6" t="s">
        <v>209</v>
      </c>
      <c r="E8" s="6" t="s">
        <v>210</v>
      </c>
      <c r="F8" s="6" t="s">
        <v>211</v>
      </c>
      <c r="G8" s="6" t="s">
        <v>212</v>
      </c>
      <c r="H8" s="6" t="s">
        <v>213</v>
      </c>
      <c r="I8" s="6" t="s">
        <v>197</v>
      </c>
      <c r="J8" s="6" t="s">
        <v>197</v>
      </c>
      <c r="K8" s="6" t="s">
        <v>131</v>
      </c>
      <c r="L8" s="31" t="s">
        <v>176</v>
      </c>
      <c r="M8" s="32" t="s">
        <v>185</v>
      </c>
      <c r="N8" s="33"/>
      <c r="O8" s="34"/>
      <c r="P8" s="34" t="s">
        <v>214</v>
      </c>
      <c r="Q8" s="6" t="s">
        <v>215</v>
      </c>
      <c r="R8" s="34"/>
      <c r="S8" s="31" t="s">
        <v>117</v>
      </c>
      <c r="T8" s="35"/>
      <c r="U8" s="29" t="str">
        <f aca="false">IF(B8&lt;&gt;"Y","Out of scope",IF(N8="","Awaiting response",IF(AND(OR(N8="Yes",N8="Partial"),O8=""),"No detail: treat as unanswered",IF(AND(N8="Yes",R8=""),"No evidence link",IF(AND(S8="Gap",T8=""),"Gap needs owner and date in Comments","OK")))))</f>
        <v>Awaiting response</v>
      </c>
    </row>
    <row r="9" customFormat="false" ht="35.05" hidden="false" customHeight="false" outlineLevel="0" collapsed="false">
      <c r="A9" s="30" t="s">
        <v>216</v>
      </c>
      <c r="B9" s="31" t="s">
        <v>176</v>
      </c>
      <c r="C9" s="6" t="s">
        <v>138</v>
      </c>
      <c r="D9" s="6" t="s">
        <v>217</v>
      </c>
      <c r="E9" s="6" t="s">
        <v>218</v>
      </c>
      <c r="F9" s="6" t="s">
        <v>219</v>
      </c>
      <c r="G9" s="6" t="s">
        <v>220</v>
      </c>
      <c r="H9" s="6" t="s">
        <v>221</v>
      </c>
      <c r="I9" s="6" t="s">
        <v>197</v>
      </c>
      <c r="J9" s="6" t="s">
        <v>197</v>
      </c>
      <c r="K9" s="6" t="s">
        <v>131</v>
      </c>
      <c r="L9" s="31" t="s">
        <v>176</v>
      </c>
      <c r="M9" s="32" t="s">
        <v>185</v>
      </c>
      <c r="N9" s="33"/>
      <c r="O9" s="34"/>
      <c r="P9" s="34" t="s">
        <v>222</v>
      </c>
      <c r="Q9" s="6" t="s">
        <v>223</v>
      </c>
      <c r="R9" s="34"/>
      <c r="S9" s="31" t="s">
        <v>117</v>
      </c>
      <c r="T9" s="35"/>
      <c r="U9" s="29" t="str">
        <f aca="false">IF(B9&lt;&gt;"Y","Out of scope",IF(N9="","Awaiting response",IF(AND(OR(N9="Yes",N9="Partial"),O9=""),"No detail: treat as unanswered",IF(AND(N9="Yes",R9=""),"No evidence link",IF(AND(S9="Gap",T9=""),"Gap needs owner and date in Comments","OK")))))</f>
        <v>Awaiting response</v>
      </c>
    </row>
    <row r="10" customFormat="false" ht="57.45" hidden="false" customHeight="false" outlineLevel="0" collapsed="false">
      <c r="A10" s="30" t="s">
        <v>224</v>
      </c>
      <c r="B10" s="31" t="s">
        <v>176</v>
      </c>
      <c r="C10" s="6" t="s">
        <v>138</v>
      </c>
      <c r="D10" s="6" t="s">
        <v>225</v>
      </c>
      <c r="E10" s="6" t="s">
        <v>226</v>
      </c>
      <c r="F10" s="6" t="s">
        <v>227</v>
      </c>
      <c r="G10" s="6" t="s">
        <v>228</v>
      </c>
      <c r="H10" s="6" t="s">
        <v>229</v>
      </c>
      <c r="I10" s="6" t="s">
        <v>197</v>
      </c>
      <c r="J10" s="6" t="s">
        <v>197</v>
      </c>
      <c r="K10" s="6" t="s">
        <v>131</v>
      </c>
      <c r="L10" s="31" t="s">
        <v>176</v>
      </c>
      <c r="M10" s="32" t="s">
        <v>185</v>
      </c>
      <c r="N10" s="33"/>
      <c r="O10" s="34"/>
      <c r="P10" s="34" t="s">
        <v>222</v>
      </c>
      <c r="Q10" s="6" t="s">
        <v>230</v>
      </c>
      <c r="R10" s="34"/>
      <c r="S10" s="31" t="s">
        <v>117</v>
      </c>
      <c r="T10" s="35"/>
      <c r="U10" s="29" t="str">
        <f aca="false">IF(B10&lt;&gt;"Y","Out of scope",IF(N10="","Awaiting response",IF(AND(OR(N10="Yes",N10="Partial"),O10=""),"No detail: treat as unanswered",IF(AND(N10="Yes",R10=""),"No evidence link",IF(AND(S10="Gap",T10=""),"Gap needs owner and date in Comments","OK")))))</f>
        <v>Awaiting response</v>
      </c>
    </row>
    <row r="11" customFormat="false" ht="35.05" hidden="false" customHeight="false" outlineLevel="0" collapsed="false">
      <c r="A11" s="30" t="s">
        <v>231</v>
      </c>
      <c r="B11" s="31" t="s">
        <v>176</v>
      </c>
      <c r="C11" s="6" t="s">
        <v>138</v>
      </c>
      <c r="D11" s="6" t="s">
        <v>232</v>
      </c>
      <c r="E11" s="6" t="s">
        <v>233</v>
      </c>
      <c r="F11" s="6" t="s">
        <v>234</v>
      </c>
      <c r="G11" s="6" t="s">
        <v>235</v>
      </c>
      <c r="H11" s="6" t="s">
        <v>196</v>
      </c>
      <c r="I11" s="6" t="s">
        <v>197</v>
      </c>
      <c r="J11" s="6" t="s">
        <v>197</v>
      </c>
      <c r="K11" s="6" t="s">
        <v>135</v>
      </c>
      <c r="L11" s="31" t="s">
        <v>236</v>
      </c>
      <c r="M11" s="32" t="s">
        <v>185</v>
      </c>
      <c r="N11" s="33"/>
      <c r="O11" s="34"/>
      <c r="P11" s="34" t="s">
        <v>198</v>
      </c>
      <c r="Q11" s="6" t="s">
        <v>237</v>
      </c>
      <c r="R11" s="34"/>
      <c r="S11" s="31" t="s">
        <v>117</v>
      </c>
      <c r="T11" s="35"/>
      <c r="U11" s="29" t="str">
        <f aca="false">IF(B11&lt;&gt;"Y","Out of scope",IF(N11="","Awaiting response",IF(AND(OR(N11="Yes",N11="Partial"),O11=""),"No detail: treat as unanswered",IF(AND(N11="Yes",R11=""),"No evidence link",IF(AND(S11="Gap",T11=""),"Gap needs owner and date in Comments","OK")))))</f>
        <v>Awaiting response</v>
      </c>
    </row>
    <row r="12" customFormat="false" ht="35.05" hidden="false" customHeight="false" outlineLevel="0" collapsed="false">
      <c r="A12" s="30" t="s">
        <v>238</v>
      </c>
      <c r="B12" s="31" t="s">
        <v>176</v>
      </c>
      <c r="C12" s="6" t="s">
        <v>138</v>
      </c>
      <c r="D12" s="6" t="s">
        <v>239</v>
      </c>
      <c r="E12" s="6" t="s">
        <v>240</v>
      </c>
      <c r="F12" s="6" t="s">
        <v>241</v>
      </c>
      <c r="G12" s="6" t="s">
        <v>242</v>
      </c>
      <c r="H12" s="6" t="s">
        <v>243</v>
      </c>
      <c r="I12" s="6" t="s">
        <v>197</v>
      </c>
      <c r="J12" s="6" t="s">
        <v>197</v>
      </c>
      <c r="K12" s="6" t="s">
        <v>133</v>
      </c>
      <c r="L12" s="31" t="s">
        <v>176</v>
      </c>
      <c r="M12" s="32" t="s">
        <v>185</v>
      </c>
      <c r="N12" s="33"/>
      <c r="O12" s="34"/>
      <c r="P12" s="34" t="s">
        <v>198</v>
      </c>
      <c r="Q12" s="6" t="s">
        <v>244</v>
      </c>
      <c r="R12" s="34"/>
      <c r="S12" s="31" t="s">
        <v>117</v>
      </c>
      <c r="T12" s="35"/>
      <c r="U12" s="29" t="str">
        <f aca="false">IF(B12&lt;&gt;"Y","Out of scope",IF(N12="","Awaiting response",IF(AND(OR(N12="Yes",N12="Partial"),O12=""),"No detail: treat as unanswered",IF(AND(N12="Yes",R12=""),"No evidence link",IF(AND(S12="Gap",T12=""),"Gap needs owner and date in Comments","OK")))))</f>
        <v>Awaiting response</v>
      </c>
    </row>
    <row r="13" customFormat="false" ht="35.05" hidden="false" customHeight="false" outlineLevel="0" collapsed="false">
      <c r="A13" s="30" t="s">
        <v>245</v>
      </c>
      <c r="B13" s="31" t="s">
        <v>176</v>
      </c>
      <c r="C13" s="6" t="s">
        <v>138</v>
      </c>
      <c r="D13" s="6" t="s">
        <v>246</v>
      </c>
      <c r="E13" s="6" t="s">
        <v>247</v>
      </c>
      <c r="F13" s="6" t="s">
        <v>248</v>
      </c>
      <c r="G13" s="6" t="s">
        <v>249</v>
      </c>
      <c r="H13" s="6" t="s">
        <v>197</v>
      </c>
      <c r="I13" s="6" t="s">
        <v>197</v>
      </c>
      <c r="J13" s="6" t="s">
        <v>197</v>
      </c>
      <c r="K13" s="6" t="s">
        <v>132</v>
      </c>
      <c r="L13" s="31" t="s">
        <v>236</v>
      </c>
      <c r="M13" s="32" t="s">
        <v>185</v>
      </c>
      <c r="N13" s="33"/>
      <c r="O13" s="34"/>
      <c r="P13" s="34" t="s">
        <v>198</v>
      </c>
      <c r="Q13" s="6" t="s">
        <v>250</v>
      </c>
      <c r="R13" s="34"/>
      <c r="S13" s="31" t="s">
        <v>117</v>
      </c>
      <c r="T13" s="35"/>
      <c r="U13" s="29" t="str">
        <f aca="false">IF(B13&lt;&gt;"Y","Out of scope",IF(N13="","Awaiting response",IF(AND(OR(N13="Yes",N13="Partial"),O13=""),"No detail: treat as unanswered",IF(AND(N13="Yes",R13=""),"No evidence link",IF(AND(S13="Gap",T13=""),"Gap needs owner and date in Comments","OK")))))</f>
        <v>Awaiting response</v>
      </c>
    </row>
    <row r="14" customFormat="false" ht="35.05" hidden="false" customHeight="false" outlineLevel="0" collapsed="false">
      <c r="A14" s="30" t="s">
        <v>251</v>
      </c>
      <c r="B14" s="31" t="s">
        <v>176</v>
      </c>
      <c r="C14" s="6" t="s">
        <v>138</v>
      </c>
      <c r="D14" s="6" t="s">
        <v>252</v>
      </c>
      <c r="E14" s="6" t="s">
        <v>253</v>
      </c>
      <c r="F14" s="6" t="s">
        <v>254</v>
      </c>
      <c r="G14" s="6" t="s">
        <v>255</v>
      </c>
      <c r="H14" s="6" t="s">
        <v>256</v>
      </c>
      <c r="I14" s="6" t="s">
        <v>197</v>
      </c>
      <c r="J14" s="6" t="s">
        <v>197</v>
      </c>
      <c r="K14" s="6" t="s">
        <v>132</v>
      </c>
      <c r="L14" s="31" t="s">
        <v>176</v>
      </c>
      <c r="M14" s="32" t="s">
        <v>185</v>
      </c>
      <c r="N14" s="33"/>
      <c r="O14" s="34"/>
      <c r="P14" s="34" t="s">
        <v>257</v>
      </c>
      <c r="Q14" s="6" t="s">
        <v>258</v>
      </c>
      <c r="R14" s="34"/>
      <c r="S14" s="31" t="s">
        <v>117</v>
      </c>
      <c r="T14" s="35"/>
      <c r="U14" s="29" t="str">
        <f aca="false">IF(B14&lt;&gt;"Y","Out of scope",IF(N14="","Awaiting response",IF(AND(OR(N14="Yes",N14="Partial"),O14=""),"No detail: treat as unanswered",IF(AND(N14="Yes",R14=""),"No evidence link",IF(AND(S14="Gap",T14=""),"Gap needs owner and date in Comments","OK")))))</f>
        <v>Awaiting response</v>
      </c>
    </row>
    <row r="15" customFormat="false" ht="35.05" hidden="false" customHeight="false" outlineLevel="0" collapsed="false">
      <c r="A15" s="30" t="s">
        <v>259</v>
      </c>
      <c r="B15" s="31" t="s">
        <v>176</v>
      </c>
      <c r="C15" s="6" t="s">
        <v>138</v>
      </c>
      <c r="D15" s="6" t="s">
        <v>260</v>
      </c>
      <c r="E15" s="6" t="s">
        <v>261</v>
      </c>
      <c r="F15" s="6" t="s">
        <v>262</v>
      </c>
      <c r="G15" s="6" t="s">
        <v>263</v>
      </c>
      <c r="H15" s="6" t="s">
        <v>196</v>
      </c>
      <c r="I15" s="6" t="s">
        <v>197</v>
      </c>
      <c r="J15" s="6" t="s">
        <v>197</v>
      </c>
      <c r="K15" s="6" t="s">
        <v>132</v>
      </c>
      <c r="L15" s="31" t="s">
        <v>176</v>
      </c>
      <c r="M15" s="32" t="s">
        <v>185</v>
      </c>
      <c r="N15" s="33"/>
      <c r="O15" s="34"/>
      <c r="P15" s="34" t="s">
        <v>198</v>
      </c>
      <c r="Q15" s="6" t="s">
        <v>264</v>
      </c>
      <c r="R15" s="34"/>
      <c r="S15" s="31" t="s">
        <v>117</v>
      </c>
      <c r="T15" s="35"/>
      <c r="U15" s="29" t="str">
        <f aca="false">IF(B15&lt;&gt;"Y","Out of scope",IF(N15="","Awaiting response",IF(AND(OR(N15="Yes",N15="Partial"),O15=""),"No detail: treat as unanswered",IF(AND(N15="Yes",R15=""),"No evidence link",IF(AND(S15="Gap",T15=""),"Gap needs owner and date in Comments","OK")))))</f>
        <v>Awaiting response</v>
      </c>
    </row>
    <row r="16" customFormat="false" ht="35.05" hidden="false" customHeight="false" outlineLevel="0" collapsed="false">
      <c r="A16" s="30" t="s">
        <v>265</v>
      </c>
      <c r="B16" s="31" t="s">
        <v>176</v>
      </c>
      <c r="C16" s="6" t="s">
        <v>138</v>
      </c>
      <c r="D16" s="6" t="s">
        <v>266</v>
      </c>
      <c r="E16" s="6" t="s">
        <v>267</v>
      </c>
      <c r="F16" s="6" t="s">
        <v>268</v>
      </c>
      <c r="G16" s="6" t="s">
        <v>269</v>
      </c>
      <c r="H16" s="6" t="s">
        <v>270</v>
      </c>
      <c r="I16" s="6" t="s">
        <v>271</v>
      </c>
      <c r="J16" s="6" t="s">
        <v>197</v>
      </c>
      <c r="K16" s="6" t="s">
        <v>132</v>
      </c>
      <c r="L16" s="31" t="s">
        <v>176</v>
      </c>
      <c r="M16" s="32" t="s">
        <v>185</v>
      </c>
      <c r="N16" s="33"/>
      <c r="O16" s="34"/>
      <c r="P16" s="34" t="s">
        <v>272</v>
      </c>
      <c r="Q16" s="6" t="s">
        <v>273</v>
      </c>
      <c r="R16" s="34"/>
      <c r="S16" s="31" t="s">
        <v>117</v>
      </c>
      <c r="T16" s="35"/>
      <c r="U16" s="29" t="str">
        <f aca="false">IF(B16&lt;&gt;"Y","Out of scope",IF(N16="","Awaiting response",IF(AND(OR(N16="Yes",N16="Partial"),O16=""),"No detail: treat as unanswered",IF(AND(N16="Yes",R16=""),"No evidence link",IF(AND(S16="Gap",T16=""),"Gap needs owner and date in Comments","OK")))))</f>
        <v>Awaiting response</v>
      </c>
    </row>
    <row r="17" customFormat="false" ht="35.05" hidden="false" customHeight="false" outlineLevel="0" collapsed="false">
      <c r="A17" s="30" t="s">
        <v>274</v>
      </c>
      <c r="B17" s="31" t="s">
        <v>176</v>
      </c>
      <c r="C17" s="6" t="s">
        <v>138</v>
      </c>
      <c r="D17" s="6" t="s">
        <v>275</v>
      </c>
      <c r="E17" s="6" t="s">
        <v>276</v>
      </c>
      <c r="F17" s="6" t="s">
        <v>268</v>
      </c>
      <c r="G17" s="6" t="s">
        <v>277</v>
      </c>
      <c r="H17" s="6" t="s">
        <v>197</v>
      </c>
      <c r="I17" s="6" t="s">
        <v>197</v>
      </c>
      <c r="J17" s="6" t="s">
        <v>197</v>
      </c>
      <c r="K17" s="6" t="s">
        <v>132</v>
      </c>
      <c r="L17" s="31" t="s">
        <v>236</v>
      </c>
      <c r="M17" s="32" t="s">
        <v>278</v>
      </c>
      <c r="N17" s="33"/>
      <c r="O17" s="34"/>
      <c r="P17" s="34" t="s">
        <v>257</v>
      </c>
      <c r="Q17" s="6" t="s">
        <v>279</v>
      </c>
      <c r="R17" s="34"/>
      <c r="S17" s="31" t="s">
        <v>117</v>
      </c>
      <c r="T17" s="35"/>
      <c r="U17" s="29" t="str">
        <f aca="false">IF(B17&lt;&gt;"Y","Out of scope",IF(N17="","Awaiting response",IF(AND(OR(N17="Yes",N17="Partial"),O17=""),"No detail: treat as unanswered",IF(AND(N17="Yes",R17=""),"No evidence link",IF(AND(S17="Gap",T17=""),"Gap needs owner and date in Comments","OK")))))</f>
        <v>Awaiting response</v>
      </c>
    </row>
    <row r="18" customFormat="false" ht="35.05" hidden="false" customHeight="false" outlineLevel="0" collapsed="false">
      <c r="A18" s="30" t="s">
        <v>280</v>
      </c>
      <c r="B18" s="31" t="s">
        <v>176</v>
      </c>
      <c r="C18" s="6" t="s">
        <v>139</v>
      </c>
      <c r="D18" s="6" t="s">
        <v>281</v>
      </c>
      <c r="E18" s="6" t="s">
        <v>282</v>
      </c>
      <c r="F18" s="6" t="s">
        <v>283</v>
      </c>
      <c r="G18" s="6" t="s">
        <v>284</v>
      </c>
      <c r="H18" s="6" t="s">
        <v>256</v>
      </c>
      <c r="I18" s="6" t="s">
        <v>197</v>
      </c>
      <c r="J18" s="6" t="s">
        <v>197</v>
      </c>
      <c r="K18" s="6" t="s">
        <v>131</v>
      </c>
      <c r="L18" s="31" t="s">
        <v>176</v>
      </c>
      <c r="M18" s="32" t="s">
        <v>185</v>
      </c>
      <c r="N18" s="33"/>
      <c r="O18" s="34"/>
      <c r="P18" s="34" t="s">
        <v>222</v>
      </c>
      <c r="Q18" s="6" t="s">
        <v>285</v>
      </c>
      <c r="R18" s="34"/>
      <c r="S18" s="31" t="s">
        <v>117</v>
      </c>
      <c r="T18" s="35"/>
      <c r="U18" s="29" t="str">
        <f aca="false">IF(B18&lt;&gt;"Y","Out of scope",IF(N18="","Awaiting response",IF(AND(OR(N18="Yes",N18="Partial"),O18=""),"No detail: treat as unanswered",IF(AND(N18="Yes",R18=""),"No evidence link",IF(AND(S18="Gap",T18=""),"Gap needs owner and date in Comments","OK")))))</f>
        <v>Awaiting response</v>
      </c>
    </row>
    <row r="19" customFormat="false" ht="35.05" hidden="false" customHeight="false" outlineLevel="0" collapsed="false">
      <c r="A19" s="30" t="s">
        <v>286</v>
      </c>
      <c r="B19" s="31" t="s">
        <v>176</v>
      </c>
      <c r="C19" s="6" t="s">
        <v>139</v>
      </c>
      <c r="D19" s="6" t="s">
        <v>287</v>
      </c>
      <c r="E19" s="6" t="s">
        <v>288</v>
      </c>
      <c r="F19" s="6" t="s">
        <v>289</v>
      </c>
      <c r="G19" s="6" t="s">
        <v>290</v>
      </c>
      <c r="H19" s="6" t="s">
        <v>291</v>
      </c>
      <c r="I19" s="6" t="s">
        <v>197</v>
      </c>
      <c r="J19" s="6" t="s">
        <v>197</v>
      </c>
      <c r="K19" s="6" t="s">
        <v>132</v>
      </c>
      <c r="L19" s="31" t="s">
        <v>176</v>
      </c>
      <c r="M19" s="32" t="s">
        <v>185</v>
      </c>
      <c r="N19" s="33"/>
      <c r="O19" s="34"/>
      <c r="P19" s="34" t="s">
        <v>222</v>
      </c>
      <c r="Q19" s="6" t="s">
        <v>292</v>
      </c>
      <c r="R19" s="34"/>
      <c r="S19" s="31" t="s">
        <v>117</v>
      </c>
      <c r="T19" s="35"/>
      <c r="U19" s="29" t="str">
        <f aca="false">IF(B19&lt;&gt;"Y","Out of scope",IF(N19="","Awaiting response",IF(AND(OR(N19="Yes",N19="Partial"),O19=""),"No detail: treat as unanswered",IF(AND(N19="Yes",R19=""),"No evidence link",IF(AND(S19="Gap",T19=""),"Gap needs owner and date in Comments","OK")))))</f>
        <v>Awaiting response</v>
      </c>
    </row>
    <row r="20" customFormat="false" ht="35.05" hidden="false" customHeight="false" outlineLevel="0" collapsed="false">
      <c r="A20" s="30" t="s">
        <v>293</v>
      </c>
      <c r="B20" s="31" t="s">
        <v>176</v>
      </c>
      <c r="C20" s="6" t="s">
        <v>139</v>
      </c>
      <c r="D20" s="6" t="s">
        <v>294</v>
      </c>
      <c r="E20" s="6" t="s">
        <v>295</v>
      </c>
      <c r="F20" s="6" t="s">
        <v>296</v>
      </c>
      <c r="G20" s="6" t="s">
        <v>297</v>
      </c>
      <c r="H20" s="6" t="s">
        <v>291</v>
      </c>
      <c r="I20" s="6" t="s">
        <v>197</v>
      </c>
      <c r="J20" s="6" t="s">
        <v>197</v>
      </c>
      <c r="K20" s="6" t="s">
        <v>132</v>
      </c>
      <c r="L20" s="31" t="s">
        <v>236</v>
      </c>
      <c r="M20" s="32" t="s">
        <v>185</v>
      </c>
      <c r="N20" s="33"/>
      <c r="O20" s="34"/>
      <c r="P20" s="34" t="s">
        <v>222</v>
      </c>
      <c r="Q20" s="6" t="s">
        <v>298</v>
      </c>
      <c r="R20" s="34"/>
      <c r="S20" s="31" t="s">
        <v>117</v>
      </c>
      <c r="T20" s="35"/>
      <c r="U20" s="29" t="str">
        <f aca="false">IF(B20&lt;&gt;"Y","Out of scope",IF(N20="","Awaiting response",IF(AND(OR(N20="Yes",N20="Partial"),O20=""),"No detail: treat as unanswered",IF(AND(N20="Yes",R20=""),"No evidence link",IF(AND(S20="Gap",T20=""),"Gap needs owner and date in Comments","OK")))))</f>
        <v>Awaiting response</v>
      </c>
    </row>
    <row r="21" customFormat="false" ht="23.85" hidden="false" customHeight="false" outlineLevel="0" collapsed="false">
      <c r="A21" s="30" t="s">
        <v>299</v>
      </c>
      <c r="B21" s="31" t="s">
        <v>176</v>
      </c>
      <c r="C21" s="6" t="s">
        <v>139</v>
      </c>
      <c r="D21" s="6" t="s">
        <v>300</v>
      </c>
      <c r="E21" s="6" t="s">
        <v>301</v>
      </c>
      <c r="F21" s="6" t="s">
        <v>302</v>
      </c>
      <c r="G21" s="6" t="s">
        <v>303</v>
      </c>
      <c r="H21" s="6" t="s">
        <v>304</v>
      </c>
      <c r="I21" s="6" t="s">
        <v>305</v>
      </c>
      <c r="J21" s="6" t="s">
        <v>197</v>
      </c>
      <c r="K21" s="6" t="s">
        <v>132</v>
      </c>
      <c r="L21" s="31" t="s">
        <v>176</v>
      </c>
      <c r="M21" s="32" t="s">
        <v>185</v>
      </c>
      <c r="N21" s="33"/>
      <c r="O21" s="34"/>
      <c r="P21" s="34" t="s">
        <v>222</v>
      </c>
      <c r="Q21" s="6" t="s">
        <v>306</v>
      </c>
      <c r="R21" s="34"/>
      <c r="S21" s="31" t="s">
        <v>117</v>
      </c>
      <c r="T21" s="35"/>
      <c r="U21" s="29" t="str">
        <f aca="false">IF(B21&lt;&gt;"Y","Out of scope",IF(N21="","Awaiting response",IF(AND(OR(N21="Yes",N21="Partial"),O21=""),"No detail: treat as unanswered",IF(AND(N21="Yes",R21=""),"No evidence link",IF(AND(S21="Gap",T21=""),"Gap needs owner and date in Comments","OK")))))</f>
        <v>Awaiting response</v>
      </c>
    </row>
    <row r="22" customFormat="false" ht="46.25" hidden="false" customHeight="false" outlineLevel="0" collapsed="false">
      <c r="A22" s="30" t="s">
        <v>307</v>
      </c>
      <c r="B22" s="31" t="s">
        <v>176</v>
      </c>
      <c r="C22" s="6" t="s">
        <v>139</v>
      </c>
      <c r="D22" s="6" t="s">
        <v>308</v>
      </c>
      <c r="E22" s="6" t="s">
        <v>309</v>
      </c>
      <c r="F22" s="6" t="s">
        <v>310</v>
      </c>
      <c r="G22" s="6" t="s">
        <v>311</v>
      </c>
      <c r="H22" s="6" t="s">
        <v>312</v>
      </c>
      <c r="I22" s="6" t="s">
        <v>313</v>
      </c>
      <c r="J22" s="6" t="s">
        <v>314</v>
      </c>
      <c r="K22" s="6" t="s">
        <v>132</v>
      </c>
      <c r="L22" s="31" t="s">
        <v>176</v>
      </c>
      <c r="M22" s="32" t="s">
        <v>185</v>
      </c>
      <c r="N22" s="33"/>
      <c r="O22" s="34"/>
      <c r="P22" s="34" t="s">
        <v>222</v>
      </c>
      <c r="Q22" s="6" t="s">
        <v>315</v>
      </c>
      <c r="R22" s="34"/>
      <c r="S22" s="31" t="s">
        <v>117</v>
      </c>
      <c r="T22" s="35"/>
      <c r="U22" s="29" t="str">
        <f aca="false">IF(B22&lt;&gt;"Y","Out of scope",IF(N22="","Awaiting response",IF(AND(OR(N22="Yes",N22="Partial"),O22=""),"No detail: treat as unanswered",IF(AND(N22="Yes",R22=""),"No evidence link",IF(AND(S22="Gap",T22=""),"Gap needs owner and date in Comments","OK")))))</f>
        <v>Awaiting response</v>
      </c>
    </row>
    <row r="23" customFormat="false" ht="35.05" hidden="false" customHeight="false" outlineLevel="0" collapsed="false">
      <c r="A23" s="30" t="s">
        <v>316</v>
      </c>
      <c r="B23" s="31" t="s">
        <v>176</v>
      </c>
      <c r="C23" s="6" t="s">
        <v>139</v>
      </c>
      <c r="D23" s="6" t="s">
        <v>317</v>
      </c>
      <c r="E23" s="6" t="s">
        <v>318</v>
      </c>
      <c r="F23" s="6" t="s">
        <v>319</v>
      </c>
      <c r="G23" s="6" t="s">
        <v>320</v>
      </c>
      <c r="H23" s="6" t="s">
        <v>321</v>
      </c>
      <c r="I23" s="6" t="s">
        <v>322</v>
      </c>
      <c r="J23" s="6" t="s">
        <v>323</v>
      </c>
      <c r="K23" s="6" t="s">
        <v>132</v>
      </c>
      <c r="L23" s="31" t="s">
        <v>176</v>
      </c>
      <c r="M23" s="32" t="s">
        <v>185</v>
      </c>
      <c r="N23" s="33"/>
      <c r="O23" s="34"/>
      <c r="P23" s="34" t="s">
        <v>222</v>
      </c>
      <c r="Q23" s="6" t="s">
        <v>324</v>
      </c>
      <c r="R23" s="34"/>
      <c r="S23" s="31" t="s">
        <v>117</v>
      </c>
      <c r="T23" s="35"/>
      <c r="U23" s="29" t="str">
        <f aca="false">IF(B23&lt;&gt;"Y","Out of scope",IF(N23="","Awaiting response",IF(AND(OR(N23="Yes",N23="Partial"),O23=""),"No detail: treat as unanswered",IF(AND(N23="Yes",R23=""),"No evidence link",IF(AND(S23="Gap",T23=""),"Gap needs owner and date in Comments","OK")))))</f>
        <v>Awaiting response</v>
      </c>
    </row>
    <row r="24" customFormat="false" ht="35.05" hidden="false" customHeight="false" outlineLevel="0" collapsed="false">
      <c r="A24" s="30" t="s">
        <v>325</v>
      </c>
      <c r="B24" s="31" t="s">
        <v>176</v>
      </c>
      <c r="C24" s="6" t="s">
        <v>139</v>
      </c>
      <c r="D24" s="6" t="s">
        <v>326</v>
      </c>
      <c r="E24" s="6" t="s">
        <v>327</v>
      </c>
      <c r="F24" s="6" t="s">
        <v>219</v>
      </c>
      <c r="G24" s="6" t="s">
        <v>328</v>
      </c>
      <c r="H24" s="6" t="s">
        <v>329</v>
      </c>
      <c r="I24" s="6" t="s">
        <v>197</v>
      </c>
      <c r="J24" s="6" t="s">
        <v>197</v>
      </c>
      <c r="K24" s="6" t="s">
        <v>133</v>
      </c>
      <c r="L24" s="31" t="s">
        <v>176</v>
      </c>
      <c r="M24" s="32" t="s">
        <v>185</v>
      </c>
      <c r="N24" s="33"/>
      <c r="O24" s="34"/>
      <c r="P24" s="34" t="s">
        <v>214</v>
      </c>
      <c r="Q24" s="6" t="s">
        <v>330</v>
      </c>
      <c r="R24" s="34"/>
      <c r="S24" s="31" t="s">
        <v>117</v>
      </c>
      <c r="T24" s="35"/>
      <c r="U24" s="29" t="str">
        <f aca="false">IF(B24&lt;&gt;"Y","Out of scope",IF(N24="","Awaiting response",IF(AND(OR(N24="Yes",N24="Partial"),O24=""),"No detail: treat as unanswered",IF(AND(N24="Yes",R24=""),"No evidence link",IF(AND(S24="Gap",T24=""),"Gap needs owner and date in Comments","OK")))))</f>
        <v>Awaiting response</v>
      </c>
    </row>
    <row r="25" customFormat="false" ht="35.05" hidden="false" customHeight="false" outlineLevel="0" collapsed="false">
      <c r="A25" s="30" t="s">
        <v>331</v>
      </c>
      <c r="B25" s="31" t="s">
        <v>176</v>
      </c>
      <c r="C25" s="6" t="s">
        <v>139</v>
      </c>
      <c r="D25" s="6" t="s">
        <v>332</v>
      </c>
      <c r="E25" s="6" t="s">
        <v>333</v>
      </c>
      <c r="F25" s="6" t="s">
        <v>219</v>
      </c>
      <c r="G25" s="6" t="s">
        <v>334</v>
      </c>
      <c r="H25" s="6" t="s">
        <v>335</v>
      </c>
      <c r="I25" s="6" t="s">
        <v>197</v>
      </c>
      <c r="J25" s="6" t="s">
        <v>197</v>
      </c>
      <c r="K25" s="6" t="s">
        <v>135</v>
      </c>
      <c r="L25" s="31" t="s">
        <v>176</v>
      </c>
      <c r="M25" s="32" t="s">
        <v>185</v>
      </c>
      <c r="N25" s="33"/>
      <c r="O25" s="34"/>
      <c r="P25" s="34" t="s">
        <v>222</v>
      </c>
      <c r="Q25" s="6" t="s">
        <v>336</v>
      </c>
      <c r="R25" s="34"/>
      <c r="S25" s="31" t="s">
        <v>117</v>
      </c>
      <c r="T25" s="35"/>
      <c r="U25" s="29" t="str">
        <f aca="false">IF(B25&lt;&gt;"Y","Out of scope",IF(N25="","Awaiting response",IF(AND(OR(N25="Yes",N25="Partial"),O25=""),"No detail: treat as unanswered",IF(AND(N25="Yes",R25=""),"No evidence link",IF(AND(S25="Gap",T25=""),"Gap needs owner and date in Comments","OK")))))</f>
        <v>Awaiting response</v>
      </c>
    </row>
    <row r="26" customFormat="false" ht="35.05" hidden="false" customHeight="false" outlineLevel="0" collapsed="false">
      <c r="A26" s="30" t="s">
        <v>337</v>
      </c>
      <c r="B26" s="31" t="s">
        <v>176</v>
      </c>
      <c r="C26" s="6" t="s">
        <v>139</v>
      </c>
      <c r="D26" s="6" t="s">
        <v>338</v>
      </c>
      <c r="E26" s="6" t="s">
        <v>339</v>
      </c>
      <c r="F26" s="6" t="s">
        <v>296</v>
      </c>
      <c r="G26" s="6" t="s">
        <v>340</v>
      </c>
      <c r="H26" s="6" t="s">
        <v>341</v>
      </c>
      <c r="I26" s="6" t="s">
        <v>197</v>
      </c>
      <c r="J26" s="6" t="s">
        <v>197</v>
      </c>
      <c r="K26" s="6" t="s">
        <v>132</v>
      </c>
      <c r="L26" s="31" t="s">
        <v>236</v>
      </c>
      <c r="M26" s="32" t="s">
        <v>185</v>
      </c>
      <c r="N26" s="33"/>
      <c r="O26" s="34"/>
      <c r="P26" s="34" t="s">
        <v>222</v>
      </c>
      <c r="Q26" s="6" t="s">
        <v>342</v>
      </c>
      <c r="R26" s="34"/>
      <c r="S26" s="31" t="s">
        <v>117</v>
      </c>
      <c r="T26" s="35"/>
      <c r="U26" s="29" t="str">
        <f aca="false">IF(B26&lt;&gt;"Y","Out of scope",IF(N26="","Awaiting response",IF(AND(OR(N26="Yes",N26="Partial"),O26=""),"No detail: treat as unanswered",IF(AND(N26="Yes",R26=""),"No evidence link",IF(AND(S26="Gap",T26=""),"Gap needs owner and date in Comments","OK")))))</f>
        <v>Awaiting response</v>
      </c>
    </row>
    <row r="27" customFormat="false" ht="35.05" hidden="false" customHeight="false" outlineLevel="0" collapsed="false">
      <c r="A27" s="30" t="s">
        <v>343</v>
      </c>
      <c r="B27" s="31" t="s">
        <v>176</v>
      </c>
      <c r="C27" s="6" t="s">
        <v>139</v>
      </c>
      <c r="D27" s="6" t="s">
        <v>344</v>
      </c>
      <c r="E27" s="6" t="s">
        <v>345</v>
      </c>
      <c r="F27" s="6" t="s">
        <v>346</v>
      </c>
      <c r="G27" s="6" t="s">
        <v>347</v>
      </c>
      <c r="H27" s="6" t="s">
        <v>348</v>
      </c>
      <c r="I27" s="6" t="s">
        <v>197</v>
      </c>
      <c r="J27" s="6" t="s">
        <v>184</v>
      </c>
      <c r="K27" s="6" t="s">
        <v>135</v>
      </c>
      <c r="L27" s="31" t="s">
        <v>176</v>
      </c>
      <c r="M27" s="32" t="s">
        <v>185</v>
      </c>
      <c r="N27" s="33"/>
      <c r="O27" s="34"/>
      <c r="P27" s="34" t="s">
        <v>198</v>
      </c>
      <c r="Q27" s="6" t="s">
        <v>349</v>
      </c>
      <c r="R27" s="34"/>
      <c r="S27" s="31" t="s">
        <v>117</v>
      </c>
      <c r="T27" s="35"/>
      <c r="U27" s="29" t="str">
        <f aca="false">IF(B27&lt;&gt;"Y","Out of scope",IF(N27="","Awaiting response",IF(AND(OR(N27="Yes",N27="Partial"),O27=""),"No detail: treat as unanswered",IF(AND(N27="Yes",R27=""),"No evidence link",IF(AND(S27="Gap",T27=""),"Gap needs owner and date in Comments","OK")))))</f>
        <v>Awaiting response</v>
      </c>
    </row>
    <row r="28" customFormat="false" ht="35.05" hidden="false" customHeight="false" outlineLevel="0" collapsed="false">
      <c r="A28" s="30" t="s">
        <v>350</v>
      </c>
      <c r="B28" s="31" t="s">
        <v>176</v>
      </c>
      <c r="C28" s="6" t="s">
        <v>140</v>
      </c>
      <c r="D28" s="6" t="s">
        <v>351</v>
      </c>
      <c r="E28" s="6" t="s">
        <v>352</v>
      </c>
      <c r="F28" s="6" t="s">
        <v>353</v>
      </c>
      <c r="G28" s="6" t="s">
        <v>354</v>
      </c>
      <c r="H28" s="6" t="s">
        <v>355</v>
      </c>
      <c r="I28" s="6" t="s">
        <v>305</v>
      </c>
      <c r="J28" s="6" t="s">
        <v>197</v>
      </c>
      <c r="K28" s="6" t="s">
        <v>131</v>
      </c>
      <c r="L28" s="31" t="s">
        <v>176</v>
      </c>
      <c r="M28" s="32" t="s">
        <v>185</v>
      </c>
      <c r="N28" s="33"/>
      <c r="O28" s="34"/>
      <c r="P28" s="34" t="s">
        <v>214</v>
      </c>
      <c r="Q28" s="6" t="s">
        <v>356</v>
      </c>
      <c r="R28" s="34"/>
      <c r="S28" s="31" t="s">
        <v>117</v>
      </c>
      <c r="T28" s="35"/>
      <c r="U28" s="29" t="str">
        <f aca="false">IF(B28&lt;&gt;"Y","Out of scope",IF(N28="","Awaiting response",IF(AND(OR(N28="Yes",N28="Partial"),O28=""),"No detail: treat as unanswered",IF(AND(N28="Yes",R28=""),"No evidence link",IF(AND(S28="Gap",T28=""),"Gap needs owner and date in Comments","OK")))))</f>
        <v>Awaiting response</v>
      </c>
    </row>
    <row r="29" customFormat="false" ht="35.05" hidden="false" customHeight="false" outlineLevel="0" collapsed="false">
      <c r="A29" s="30" t="s">
        <v>357</v>
      </c>
      <c r="B29" s="31" t="s">
        <v>176</v>
      </c>
      <c r="C29" s="6" t="s">
        <v>140</v>
      </c>
      <c r="D29" s="6" t="s">
        <v>358</v>
      </c>
      <c r="E29" s="6" t="s">
        <v>359</v>
      </c>
      <c r="F29" s="6" t="s">
        <v>360</v>
      </c>
      <c r="G29" s="6" t="s">
        <v>361</v>
      </c>
      <c r="H29" s="6" t="s">
        <v>362</v>
      </c>
      <c r="I29" s="6" t="s">
        <v>305</v>
      </c>
      <c r="J29" s="6" t="s">
        <v>197</v>
      </c>
      <c r="K29" s="6" t="s">
        <v>132</v>
      </c>
      <c r="L29" s="31" t="s">
        <v>176</v>
      </c>
      <c r="M29" s="32" t="s">
        <v>185</v>
      </c>
      <c r="N29" s="33"/>
      <c r="O29" s="34"/>
      <c r="P29" s="34" t="s">
        <v>272</v>
      </c>
      <c r="Q29" s="6" t="s">
        <v>363</v>
      </c>
      <c r="R29" s="34"/>
      <c r="S29" s="31" t="s">
        <v>117</v>
      </c>
      <c r="T29" s="35"/>
      <c r="U29" s="29" t="str">
        <f aca="false">IF(B29&lt;&gt;"Y","Out of scope",IF(N29="","Awaiting response",IF(AND(OR(N29="Yes",N29="Partial"),O29=""),"No detail: treat as unanswered",IF(AND(N29="Yes",R29=""),"No evidence link",IF(AND(S29="Gap",T29=""),"Gap needs owner and date in Comments","OK")))))</f>
        <v>Awaiting response</v>
      </c>
    </row>
    <row r="30" customFormat="false" ht="35.05" hidden="false" customHeight="false" outlineLevel="0" collapsed="false">
      <c r="A30" s="30" t="s">
        <v>364</v>
      </c>
      <c r="B30" s="31" t="s">
        <v>176</v>
      </c>
      <c r="C30" s="6" t="s">
        <v>140</v>
      </c>
      <c r="D30" s="6" t="s">
        <v>365</v>
      </c>
      <c r="E30" s="6" t="s">
        <v>366</v>
      </c>
      <c r="F30" s="6" t="s">
        <v>367</v>
      </c>
      <c r="G30" s="6" t="s">
        <v>354</v>
      </c>
      <c r="H30" s="6" t="s">
        <v>368</v>
      </c>
      <c r="I30" s="6" t="s">
        <v>369</v>
      </c>
      <c r="J30" s="6" t="s">
        <v>370</v>
      </c>
      <c r="K30" s="6" t="s">
        <v>132</v>
      </c>
      <c r="L30" s="31" t="s">
        <v>176</v>
      </c>
      <c r="M30" s="32" t="s">
        <v>185</v>
      </c>
      <c r="N30" s="33"/>
      <c r="O30" s="34"/>
      <c r="P30" s="34" t="s">
        <v>371</v>
      </c>
      <c r="Q30" s="6" t="s">
        <v>372</v>
      </c>
      <c r="R30" s="34"/>
      <c r="S30" s="31" t="s">
        <v>117</v>
      </c>
      <c r="T30" s="35"/>
      <c r="U30" s="29" t="str">
        <f aca="false">IF(B30&lt;&gt;"Y","Out of scope",IF(N30="","Awaiting response",IF(AND(OR(N30="Yes",N30="Partial"),O30=""),"No detail: treat as unanswered",IF(AND(N30="Yes",R30=""),"No evidence link",IF(AND(S30="Gap",T30=""),"Gap needs owner and date in Comments","OK")))))</f>
        <v>Awaiting response</v>
      </c>
    </row>
    <row r="31" customFormat="false" ht="35.05" hidden="false" customHeight="false" outlineLevel="0" collapsed="false">
      <c r="A31" s="30" t="s">
        <v>373</v>
      </c>
      <c r="B31" s="31" t="s">
        <v>176</v>
      </c>
      <c r="C31" s="6" t="s">
        <v>140</v>
      </c>
      <c r="D31" s="6" t="s">
        <v>374</v>
      </c>
      <c r="E31" s="6" t="s">
        <v>375</v>
      </c>
      <c r="F31" s="6" t="s">
        <v>376</v>
      </c>
      <c r="G31" s="6" t="s">
        <v>377</v>
      </c>
      <c r="H31" s="6" t="s">
        <v>378</v>
      </c>
      <c r="I31" s="6" t="s">
        <v>379</v>
      </c>
      <c r="J31" s="6" t="s">
        <v>197</v>
      </c>
      <c r="K31" s="6" t="s">
        <v>132</v>
      </c>
      <c r="L31" s="31" t="s">
        <v>176</v>
      </c>
      <c r="M31" s="32" t="s">
        <v>185</v>
      </c>
      <c r="N31" s="33"/>
      <c r="O31" s="34"/>
      <c r="P31" s="34" t="s">
        <v>187</v>
      </c>
      <c r="Q31" s="6" t="s">
        <v>380</v>
      </c>
      <c r="R31" s="34"/>
      <c r="S31" s="31" t="s">
        <v>117</v>
      </c>
      <c r="T31" s="35"/>
      <c r="U31" s="29" t="str">
        <f aca="false">IF(B31&lt;&gt;"Y","Out of scope",IF(N31="","Awaiting response",IF(AND(OR(N31="Yes",N31="Partial"),O31=""),"No detail: treat as unanswered",IF(AND(N31="Yes",R31=""),"No evidence link",IF(AND(S31="Gap",T31=""),"Gap needs owner and date in Comments","OK")))))</f>
        <v>Awaiting response</v>
      </c>
    </row>
    <row r="32" customFormat="false" ht="35.05" hidden="false" customHeight="false" outlineLevel="0" collapsed="false">
      <c r="A32" s="30" t="s">
        <v>381</v>
      </c>
      <c r="B32" s="31" t="s">
        <v>176</v>
      </c>
      <c r="C32" s="6" t="s">
        <v>140</v>
      </c>
      <c r="D32" s="6" t="s">
        <v>382</v>
      </c>
      <c r="E32" s="6" t="s">
        <v>383</v>
      </c>
      <c r="F32" s="6" t="s">
        <v>384</v>
      </c>
      <c r="G32" s="6" t="s">
        <v>385</v>
      </c>
      <c r="H32" s="6" t="s">
        <v>386</v>
      </c>
      <c r="I32" s="6" t="s">
        <v>305</v>
      </c>
      <c r="J32" s="6" t="s">
        <v>197</v>
      </c>
      <c r="K32" s="6" t="s">
        <v>132</v>
      </c>
      <c r="L32" s="31" t="s">
        <v>176</v>
      </c>
      <c r="M32" s="32" t="s">
        <v>185</v>
      </c>
      <c r="N32" s="33"/>
      <c r="O32" s="34"/>
      <c r="P32" s="34" t="s">
        <v>257</v>
      </c>
      <c r="Q32" s="6" t="s">
        <v>387</v>
      </c>
      <c r="R32" s="34"/>
      <c r="S32" s="31" t="s">
        <v>117</v>
      </c>
      <c r="T32" s="35"/>
      <c r="U32" s="29" t="str">
        <f aca="false">IF(B32&lt;&gt;"Y","Out of scope",IF(N32="","Awaiting response",IF(AND(OR(N32="Yes",N32="Partial"),O32=""),"No detail: treat as unanswered",IF(AND(N32="Yes",R32=""),"No evidence link",IF(AND(S32="Gap",T32=""),"Gap needs owner and date in Comments","OK")))))</f>
        <v>Awaiting response</v>
      </c>
    </row>
    <row r="33" customFormat="false" ht="35.05" hidden="false" customHeight="false" outlineLevel="0" collapsed="false">
      <c r="A33" s="30" t="s">
        <v>388</v>
      </c>
      <c r="B33" s="31" t="s">
        <v>176</v>
      </c>
      <c r="C33" s="6" t="s">
        <v>140</v>
      </c>
      <c r="D33" s="6" t="s">
        <v>389</v>
      </c>
      <c r="E33" s="6" t="s">
        <v>390</v>
      </c>
      <c r="F33" s="6" t="s">
        <v>384</v>
      </c>
      <c r="G33" s="6" t="s">
        <v>391</v>
      </c>
      <c r="H33" s="6" t="s">
        <v>392</v>
      </c>
      <c r="I33" s="6" t="s">
        <v>305</v>
      </c>
      <c r="J33" s="6" t="s">
        <v>370</v>
      </c>
      <c r="K33" s="6" t="s">
        <v>133</v>
      </c>
      <c r="L33" s="31" t="s">
        <v>176</v>
      </c>
      <c r="M33" s="32" t="s">
        <v>185</v>
      </c>
      <c r="N33" s="33"/>
      <c r="O33" s="34"/>
      <c r="P33" s="34" t="s">
        <v>393</v>
      </c>
      <c r="Q33" s="6" t="s">
        <v>394</v>
      </c>
      <c r="R33" s="34"/>
      <c r="S33" s="31" t="s">
        <v>117</v>
      </c>
      <c r="T33" s="35"/>
      <c r="U33" s="29" t="str">
        <f aca="false">IF(B33&lt;&gt;"Y","Out of scope",IF(N33="","Awaiting response",IF(AND(OR(N33="Yes",N33="Partial"),O33=""),"No detail: treat as unanswered",IF(AND(N33="Yes",R33=""),"No evidence link",IF(AND(S33="Gap",T33=""),"Gap needs owner and date in Comments","OK")))))</f>
        <v>Awaiting response</v>
      </c>
    </row>
    <row r="34" customFormat="false" ht="35.05" hidden="false" customHeight="false" outlineLevel="0" collapsed="false">
      <c r="A34" s="30" t="s">
        <v>395</v>
      </c>
      <c r="B34" s="31" t="s">
        <v>176</v>
      </c>
      <c r="C34" s="6" t="s">
        <v>140</v>
      </c>
      <c r="D34" s="6" t="s">
        <v>396</v>
      </c>
      <c r="E34" s="6" t="s">
        <v>397</v>
      </c>
      <c r="F34" s="6" t="s">
        <v>398</v>
      </c>
      <c r="G34" s="6" t="s">
        <v>399</v>
      </c>
      <c r="H34" s="6" t="s">
        <v>400</v>
      </c>
      <c r="I34" s="6" t="s">
        <v>401</v>
      </c>
      <c r="J34" s="6" t="s">
        <v>197</v>
      </c>
      <c r="K34" s="6" t="s">
        <v>134</v>
      </c>
      <c r="L34" s="31" t="s">
        <v>176</v>
      </c>
      <c r="M34" s="32" t="s">
        <v>185</v>
      </c>
      <c r="N34" s="33"/>
      <c r="O34" s="34"/>
      <c r="P34" s="34" t="s">
        <v>393</v>
      </c>
      <c r="Q34" s="6" t="s">
        <v>402</v>
      </c>
      <c r="R34" s="34"/>
      <c r="S34" s="31" t="s">
        <v>117</v>
      </c>
      <c r="T34" s="35"/>
      <c r="U34" s="29" t="str">
        <f aca="false">IF(B34&lt;&gt;"Y","Out of scope",IF(N34="","Awaiting response",IF(AND(OR(N34="Yes",N34="Partial"),O34=""),"No detail: treat as unanswered",IF(AND(N34="Yes",R34=""),"No evidence link",IF(AND(S34="Gap",T34=""),"Gap needs owner and date in Comments","OK")))))</f>
        <v>Awaiting response</v>
      </c>
    </row>
    <row r="35" customFormat="false" ht="35.05" hidden="false" customHeight="false" outlineLevel="0" collapsed="false">
      <c r="A35" s="30" t="s">
        <v>403</v>
      </c>
      <c r="B35" s="31" t="s">
        <v>176</v>
      </c>
      <c r="C35" s="6" t="s">
        <v>140</v>
      </c>
      <c r="D35" s="6" t="s">
        <v>404</v>
      </c>
      <c r="E35" s="6" t="s">
        <v>405</v>
      </c>
      <c r="F35" s="6" t="s">
        <v>398</v>
      </c>
      <c r="G35" s="6" t="s">
        <v>399</v>
      </c>
      <c r="H35" s="6" t="s">
        <v>400</v>
      </c>
      <c r="I35" s="6" t="s">
        <v>197</v>
      </c>
      <c r="J35" s="6" t="s">
        <v>406</v>
      </c>
      <c r="K35" s="6" t="s">
        <v>134</v>
      </c>
      <c r="L35" s="31" t="s">
        <v>176</v>
      </c>
      <c r="M35" s="32" t="s">
        <v>185</v>
      </c>
      <c r="N35" s="33"/>
      <c r="O35" s="34"/>
      <c r="P35" s="34" t="s">
        <v>393</v>
      </c>
      <c r="Q35" s="6" t="s">
        <v>407</v>
      </c>
      <c r="R35" s="34"/>
      <c r="S35" s="31" t="s">
        <v>117</v>
      </c>
      <c r="T35" s="35"/>
      <c r="U35" s="29" t="str">
        <f aca="false">IF(B35&lt;&gt;"Y","Out of scope",IF(N35="","Awaiting response",IF(AND(OR(N35="Yes",N35="Partial"),O35=""),"No detail: treat as unanswered",IF(AND(N35="Yes",R35=""),"No evidence link",IF(AND(S35="Gap",T35=""),"Gap needs owner and date in Comments","OK")))))</f>
        <v>Awaiting response</v>
      </c>
    </row>
    <row r="36" customFormat="false" ht="35.05" hidden="false" customHeight="false" outlineLevel="0" collapsed="false">
      <c r="A36" s="30" t="s">
        <v>408</v>
      </c>
      <c r="B36" s="31" t="s">
        <v>176</v>
      </c>
      <c r="C36" s="6" t="s">
        <v>140</v>
      </c>
      <c r="D36" s="6" t="s">
        <v>409</v>
      </c>
      <c r="E36" s="6" t="s">
        <v>410</v>
      </c>
      <c r="F36" s="6" t="s">
        <v>411</v>
      </c>
      <c r="G36" s="6" t="s">
        <v>412</v>
      </c>
      <c r="H36" s="6" t="s">
        <v>413</v>
      </c>
      <c r="I36" s="6" t="s">
        <v>305</v>
      </c>
      <c r="J36" s="6" t="s">
        <v>197</v>
      </c>
      <c r="K36" s="6" t="s">
        <v>132</v>
      </c>
      <c r="L36" s="31" t="s">
        <v>176</v>
      </c>
      <c r="M36" s="32" t="s">
        <v>278</v>
      </c>
      <c r="N36" s="33"/>
      <c r="O36" s="34"/>
      <c r="P36" s="34" t="s">
        <v>272</v>
      </c>
      <c r="Q36" s="6" t="s">
        <v>414</v>
      </c>
      <c r="R36" s="34"/>
      <c r="S36" s="31" t="s">
        <v>117</v>
      </c>
      <c r="T36" s="35"/>
      <c r="U36" s="29" t="str">
        <f aca="false">IF(B36&lt;&gt;"Y","Out of scope",IF(N36="","Awaiting response",IF(AND(OR(N36="Yes",N36="Partial"),O36=""),"No detail: treat as unanswered",IF(AND(N36="Yes",R36=""),"No evidence link",IF(AND(S36="Gap",T36=""),"Gap needs owner and date in Comments","OK")))))</f>
        <v>Awaiting response</v>
      </c>
    </row>
    <row r="37" customFormat="false" ht="35.05" hidden="false" customHeight="false" outlineLevel="0" collapsed="false">
      <c r="A37" s="30" t="s">
        <v>415</v>
      </c>
      <c r="B37" s="31" t="s">
        <v>176</v>
      </c>
      <c r="C37" s="6" t="s">
        <v>140</v>
      </c>
      <c r="D37" s="6" t="s">
        <v>416</v>
      </c>
      <c r="E37" s="6" t="s">
        <v>417</v>
      </c>
      <c r="F37" s="6" t="s">
        <v>268</v>
      </c>
      <c r="G37" s="6" t="s">
        <v>412</v>
      </c>
      <c r="H37" s="6" t="s">
        <v>418</v>
      </c>
      <c r="I37" s="6" t="s">
        <v>197</v>
      </c>
      <c r="J37" s="6" t="s">
        <v>197</v>
      </c>
      <c r="K37" s="6" t="s">
        <v>134</v>
      </c>
      <c r="L37" s="31" t="s">
        <v>176</v>
      </c>
      <c r="M37" s="32" t="s">
        <v>419</v>
      </c>
      <c r="N37" s="33"/>
      <c r="O37" s="34"/>
      <c r="P37" s="34" t="s">
        <v>393</v>
      </c>
      <c r="Q37" s="6" t="s">
        <v>420</v>
      </c>
      <c r="R37" s="34"/>
      <c r="S37" s="31" t="s">
        <v>117</v>
      </c>
      <c r="T37" s="35"/>
      <c r="U37" s="29" t="str">
        <f aca="false">IF(B37&lt;&gt;"Y","Out of scope",IF(N37="","Awaiting response",IF(AND(OR(N37="Yes",N37="Partial"),O37=""),"No detail: treat as unanswered",IF(AND(N37="Yes",R37=""),"No evidence link",IF(AND(S37="Gap",T37=""),"Gap needs owner and date in Comments","OK")))))</f>
        <v>Awaiting response</v>
      </c>
    </row>
    <row r="38" customFormat="false" ht="35.05" hidden="false" customHeight="false" outlineLevel="0" collapsed="false">
      <c r="A38" s="30" t="s">
        <v>421</v>
      </c>
      <c r="B38" s="31" t="s">
        <v>176</v>
      </c>
      <c r="C38" s="6" t="s">
        <v>140</v>
      </c>
      <c r="D38" s="6" t="s">
        <v>422</v>
      </c>
      <c r="E38" s="6" t="s">
        <v>423</v>
      </c>
      <c r="F38" s="6" t="s">
        <v>384</v>
      </c>
      <c r="G38" s="6" t="s">
        <v>424</v>
      </c>
      <c r="H38" s="6" t="s">
        <v>425</v>
      </c>
      <c r="I38" s="6" t="s">
        <v>305</v>
      </c>
      <c r="J38" s="6" t="s">
        <v>370</v>
      </c>
      <c r="K38" s="6" t="s">
        <v>135</v>
      </c>
      <c r="L38" s="31" t="s">
        <v>176</v>
      </c>
      <c r="M38" s="32" t="s">
        <v>185</v>
      </c>
      <c r="N38" s="33"/>
      <c r="O38" s="34"/>
      <c r="P38" s="34" t="s">
        <v>393</v>
      </c>
      <c r="Q38" s="6" t="s">
        <v>426</v>
      </c>
      <c r="R38" s="34"/>
      <c r="S38" s="31" t="s">
        <v>117</v>
      </c>
      <c r="T38" s="35"/>
      <c r="U38" s="29" t="str">
        <f aca="false">IF(B38&lt;&gt;"Y","Out of scope",IF(N38="","Awaiting response",IF(AND(OR(N38="Yes",N38="Partial"),O38=""),"No detail: treat as unanswered",IF(AND(N38="Yes",R38=""),"No evidence link",IF(AND(S38="Gap",T38=""),"Gap needs owner and date in Comments","OK")))))</f>
        <v>Awaiting response</v>
      </c>
    </row>
    <row r="39" customFormat="false" ht="35.05" hidden="false" customHeight="false" outlineLevel="0" collapsed="false">
      <c r="A39" s="30" t="s">
        <v>427</v>
      </c>
      <c r="B39" s="31" t="s">
        <v>176</v>
      </c>
      <c r="C39" s="6" t="s">
        <v>140</v>
      </c>
      <c r="D39" s="6" t="s">
        <v>428</v>
      </c>
      <c r="E39" s="6" t="s">
        <v>429</v>
      </c>
      <c r="F39" s="6" t="s">
        <v>384</v>
      </c>
      <c r="G39" s="6" t="s">
        <v>385</v>
      </c>
      <c r="H39" s="6" t="s">
        <v>430</v>
      </c>
      <c r="I39" s="6" t="s">
        <v>401</v>
      </c>
      <c r="J39" s="6" t="s">
        <v>370</v>
      </c>
      <c r="K39" s="6" t="s">
        <v>135</v>
      </c>
      <c r="L39" s="31" t="s">
        <v>176</v>
      </c>
      <c r="M39" s="32" t="s">
        <v>185</v>
      </c>
      <c r="N39" s="33"/>
      <c r="O39" s="34"/>
      <c r="P39" s="34" t="s">
        <v>198</v>
      </c>
      <c r="Q39" s="6" t="s">
        <v>431</v>
      </c>
      <c r="R39" s="34"/>
      <c r="S39" s="31" t="s">
        <v>117</v>
      </c>
      <c r="T39" s="35"/>
      <c r="U39" s="29" t="str">
        <f aca="false">IF(B39&lt;&gt;"Y","Out of scope",IF(N39="","Awaiting response",IF(AND(OR(N39="Yes",N39="Partial"),O39=""),"No detail: treat as unanswered",IF(AND(N39="Yes",R39=""),"No evidence link",IF(AND(S39="Gap",T39=""),"Gap needs owner and date in Comments","OK")))))</f>
        <v>Awaiting response</v>
      </c>
    </row>
    <row r="40" customFormat="false" ht="35.05" hidden="false" customHeight="false" outlineLevel="0" collapsed="false">
      <c r="A40" s="30" t="s">
        <v>432</v>
      </c>
      <c r="B40" s="31" t="s">
        <v>176</v>
      </c>
      <c r="C40" s="6" t="s">
        <v>140</v>
      </c>
      <c r="D40" s="6" t="s">
        <v>433</v>
      </c>
      <c r="E40" s="6" t="s">
        <v>434</v>
      </c>
      <c r="F40" s="6" t="s">
        <v>435</v>
      </c>
      <c r="G40" s="6" t="s">
        <v>436</v>
      </c>
      <c r="H40" s="6" t="s">
        <v>400</v>
      </c>
      <c r="I40" s="6" t="s">
        <v>437</v>
      </c>
      <c r="J40" s="6" t="s">
        <v>370</v>
      </c>
      <c r="K40" s="6" t="s">
        <v>134</v>
      </c>
      <c r="L40" s="31" t="s">
        <v>176</v>
      </c>
      <c r="M40" s="32" t="s">
        <v>185</v>
      </c>
      <c r="N40" s="33"/>
      <c r="O40" s="34"/>
      <c r="P40" s="34" t="s">
        <v>393</v>
      </c>
      <c r="Q40" s="6" t="s">
        <v>438</v>
      </c>
      <c r="R40" s="34"/>
      <c r="S40" s="31" t="s">
        <v>117</v>
      </c>
      <c r="T40" s="35"/>
      <c r="U40" s="29" t="str">
        <f aca="false">IF(B40&lt;&gt;"Y","Out of scope",IF(N40="","Awaiting response",IF(AND(OR(N40="Yes",N40="Partial"),O40=""),"No detail: treat as unanswered",IF(AND(N40="Yes",R40=""),"No evidence link",IF(AND(S40="Gap",T40=""),"Gap needs owner and date in Comments","OK")))))</f>
        <v>Awaiting response</v>
      </c>
    </row>
    <row r="41" customFormat="false" ht="35.05" hidden="false" customHeight="false" outlineLevel="0" collapsed="false">
      <c r="A41" s="30" t="s">
        <v>439</v>
      </c>
      <c r="B41" s="31" t="s">
        <v>176</v>
      </c>
      <c r="C41" s="6" t="s">
        <v>140</v>
      </c>
      <c r="D41" s="6" t="s">
        <v>440</v>
      </c>
      <c r="E41" s="6" t="s">
        <v>441</v>
      </c>
      <c r="F41" s="6" t="s">
        <v>384</v>
      </c>
      <c r="G41" s="6" t="s">
        <v>442</v>
      </c>
      <c r="H41" s="6" t="s">
        <v>182</v>
      </c>
      <c r="I41" s="6" t="s">
        <v>401</v>
      </c>
      <c r="J41" s="6" t="s">
        <v>370</v>
      </c>
      <c r="K41" s="6" t="s">
        <v>132</v>
      </c>
      <c r="L41" s="31" t="s">
        <v>236</v>
      </c>
      <c r="M41" s="32" t="s">
        <v>185</v>
      </c>
      <c r="N41" s="33"/>
      <c r="O41" s="34"/>
      <c r="P41" s="34" t="s">
        <v>222</v>
      </c>
      <c r="Q41" s="6" t="s">
        <v>443</v>
      </c>
      <c r="R41" s="34"/>
      <c r="S41" s="31" t="s">
        <v>117</v>
      </c>
      <c r="T41" s="35"/>
      <c r="U41" s="29" t="str">
        <f aca="false">IF(B41&lt;&gt;"Y","Out of scope",IF(N41="","Awaiting response",IF(AND(OR(N41="Yes",N41="Partial"),O41=""),"No detail: treat as unanswered",IF(AND(N41="Yes",R41=""),"No evidence link",IF(AND(S41="Gap",T41=""),"Gap needs owner and date in Comments","OK")))))</f>
        <v>Awaiting response</v>
      </c>
    </row>
    <row r="42" customFormat="false" ht="35.05" hidden="false" customHeight="false" outlineLevel="0" collapsed="false">
      <c r="A42" s="30" t="s">
        <v>444</v>
      </c>
      <c r="B42" s="31" t="s">
        <v>176</v>
      </c>
      <c r="C42" s="6" t="s">
        <v>140</v>
      </c>
      <c r="D42" s="6" t="s">
        <v>445</v>
      </c>
      <c r="E42" s="6" t="s">
        <v>446</v>
      </c>
      <c r="F42" s="6" t="s">
        <v>447</v>
      </c>
      <c r="G42" s="6" t="s">
        <v>448</v>
      </c>
      <c r="H42" s="6" t="s">
        <v>182</v>
      </c>
      <c r="I42" s="6" t="s">
        <v>449</v>
      </c>
      <c r="J42" s="6" t="s">
        <v>450</v>
      </c>
      <c r="K42" s="6" t="s">
        <v>133</v>
      </c>
      <c r="L42" s="31" t="s">
        <v>176</v>
      </c>
      <c r="M42" s="32" t="s">
        <v>185</v>
      </c>
      <c r="N42" s="33"/>
      <c r="O42" s="34"/>
      <c r="P42" s="34" t="s">
        <v>393</v>
      </c>
      <c r="Q42" s="6" t="s">
        <v>451</v>
      </c>
      <c r="R42" s="34"/>
      <c r="S42" s="31" t="s">
        <v>117</v>
      </c>
      <c r="T42" s="35"/>
      <c r="U42" s="29" t="str">
        <f aca="false">IF(B42&lt;&gt;"Y","Out of scope",IF(N42="","Awaiting response",IF(AND(OR(N42="Yes",N42="Partial"),O42=""),"No detail: treat as unanswered",IF(AND(N42="Yes",R42=""),"No evidence link",IF(AND(S42="Gap",T42=""),"Gap needs owner and date in Comments","OK")))))</f>
        <v>Awaiting response</v>
      </c>
    </row>
    <row r="43" customFormat="false" ht="35.05" hidden="false" customHeight="false" outlineLevel="0" collapsed="false">
      <c r="A43" s="30" t="s">
        <v>452</v>
      </c>
      <c r="B43" s="31" t="s">
        <v>176</v>
      </c>
      <c r="C43" s="6" t="s">
        <v>140</v>
      </c>
      <c r="D43" s="6" t="s">
        <v>453</v>
      </c>
      <c r="E43" s="6" t="s">
        <v>454</v>
      </c>
      <c r="F43" s="6" t="s">
        <v>455</v>
      </c>
      <c r="G43" s="6" t="s">
        <v>456</v>
      </c>
      <c r="H43" s="6" t="s">
        <v>392</v>
      </c>
      <c r="I43" s="6" t="s">
        <v>379</v>
      </c>
      <c r="J43" s="6" t="s">
        <v>457</v>
      </c>
      <c r="K43" s="6" t="s">
        <v>132</v>
      </c>
      <c r="L43" s="31" t="s">
        <v>236</v>
      </c>
      <c r="M43" s="32" t="s">
        <v>185</v>
      </c>
      <c r="N43" s="33"/>
      <c r="O43" s="34"/>
      <c r="P43" s="34" t="s">
        <v>371</v>
      </c>
      <c r="Q43" s="6" t="s">
        <v>458</v>
      </c>
      <c r="R43" s="34"/>
      <c r="S43" s="31" t="s">
        <v>117</v>
      </c>
      <c r="T43" s="35"/>
      <c r="U43" s="29" t="str">
        <f aca="false">IF(B43&lt;&gt;"Y","Out of scope",IF(N43="","Awaiting response",IF(AND(OR(N43="Yes",N43="Partial"),O43=""),"No detail: treat as unanswered",IF(AND(N43="Yes",R43=""),"No evidence link",IF(AND(S43="Gap",T43=""),"Gap needs owner and date in Comments","OK")))))</f>
        <v>Awaiting response</v>
      </c>
    </row>
    <row r="44" customFormat="false" ht="35.05" hidden="false" customHeight="false" outlineLevel="0" collapsed="false">
      <c r="A44" s="30" t="s">
        <v>459</v>
      </c>
      <c r="B44" s="31" t="s">
        <v>176</v>
      </c>
      <c r="C44" s="6" t="s">
        <v>141</v>
      </c>
      <c r="D44" s="6" t="s">
        <v>460</v>
      </c>
      <c r="E44" s="6" t="s">
        <v>461</v>
      </c>
      <c r="F44" s="6" t="s">
        <v>462</v>
      </c>
      <c r="G44" s="6" t="s">
        <v>463</v>
      </c>
      <c r="H44" s="6" t="s">
        <v>464</v>
      </c>
      <c r="I44" s="6" t="s">
        <v>322</v>
      </c>
      <c r="J44" s="6" t="s">
        <v>197</v>
      </c>
      <c r="K44" s="6" t="s">
        <v>132</v>
      </c>
      <c r="L44" s="31" t="s">
        <v>176</v>
      </c>
      <c r="M44" s="32" t="s">
        <v>185</v>
      </c>
      <c r="N44" s="33"/>
      <c r="O44" s="34"/>
      <c r="P44" s="34" t="s">
        <v>371</v>
      </c>
      <c r="Q44" s="6" t="s">
        <v>465</v>
      </c>
      <c r="R44" s="34"/>
      <c r="S44" s="31" t="s">
        <v>117</v>
      </c>
      <c r="T44" s="35"/>
      <c r="U44" s="29" t="str">
        <f aca="false">IF(B44&lt;&gt;"Y","Out of scope",IF(N44="","Awaiting response",IF(AND(OR(N44="Yes",N44="Partial"),O44=""),"No detail: treat as unanswered",IF(AND(N44="Yes",R44=""),"No evidence link",IF(AND(S44="Gap",T44=""),"Gap needs owner and date in Comments","OK")))))</f>
        <v>Awaiting response</v>
      </c>
    </row>
    <row r="45" customFormat="false" ht="35.05" hidden="false" customHeight="false" outlineLevel="0" collapsed="false">
      <c r="A45" s="30" t="s">
        <v>466</v>
      </c>
      <c r="B45" s="31" t="s">
        <v>176</v>
      </c>
      <c r="C45" s="6" t="s">
        <v>141</v>
      </c>
      <c r="D45" s="6" t="s">
        <v>467</v>
      </c>
      <c r="E45" s="6" t="s">
        <v>468</v>
      </c>
      <c r="F45" s="6" t="s">
        <v>469</v>
      </c>
      <c r="G45" s="6" t="s">
        <v>470</v>
      </c>
      <c r="H45" s="6" t="s">
        <v>197</v>
      </c>
      <c r="I45" s="6" t="s">
        <v>271</v>
      </c>
      <c r="J45" s="6" t="s">
        <v>197</v>
      </c>
      <c r="K45" s="6" t="s">
        <v>131</v>
      </c>
      <c r="L45" s="31" t="s">
        <v>176</v>
      </c>
      <c r="M45" s="32" t="s">
        <v>185</v>
      </c>
      <c r="N45" s="33"/>
      <c r="O45" s="34"/>
      <c r="P45" s="34" t="s">
        <v>214</v>
      </c>
      <c r="Q45" s="6" t="s">
        <v>471</v>
      </c>
      <c r="R45" s="34"/>
      <c r="S45" s="31" t="s">
        <v>117</v>
      </c>
      <c r="T45" s="35"/>
      <c r="U45" s="29" t="str">
        <f aca="false">IF(B45&lt;&gt;"Y","Out of scope",IF(N45="","Awaiting response",IF(AND(OR(N45="Yes",N45="Partial"),O45=""),"No detail: treat as unanswered",IF(AND(N45="Yes",R45=""),"No evidence link",IF(AND(S45="Gap",T45=""),"Gap needs owner and date in Comments","OK")))))</f>
        <v>Awaiting response</v>
      </c>
    </row>
    <row r="46" customFormat="false" ht="35.05" hidden="false" customHeight="false" outlineLevel="0" collapsed="false">
      <c r="A46" s="30" t="s">
        <v>472</v>
      </c>
      <c r="B46" s="31" t="s">
        <v>176</v>
      </c>
      <c r="C46" s="6" t="s">
        <v>141</v>
      </c>
      <c r="D46" s="6" t="s">
        <v>473</v>
      </c>
      <c r="E46" s="6" t="s">
        <v>474</v>
      </c>
      <c r="F46" s="6" t="s">
        <v>475</v>
      </c>
      <c r="G46" s="6" t="s">
        <v>476</v>
      </c>
      <c r="H46" s="6" t="s">
        <v>182</v>
      </c>
      <c r="I46" s="6" t="s">
        <v>477</v>
      </c>
      <c r="J46" s="6" t="s">
        <v>197</v>
      </c>
      <c r="K46" s="6" t="s">
        <v>133</v>
      </c>
      <c r="L46" s="31" t="s">
        <v>176</v>
      </c>
      <c r="M46" s="32" t="s">
        <v>478</v>
      </c>
      <c r="N46" s="33"/>
      <c r="O46" s="34"/>
      <c r="P46" s="34" t="s">
        <v>393</v>
      </c>
      <c r="Q46" s="6" t="s">
        <v>479</v>
      </c>
      <c r="R46" s="34"/>
      <c r="S46" s="31" t="s">
        <v>117</v>
      </c>
      <c r="T46" s="35"/>
      <c r="U46" s="29" t="str">
        <f aca="false">IF(B46&lt;&gt;"Y","Out of scope",IF(N46="","Awaiting response",IF(AND(OR(N46="Yes",N46="Partial"),O46=""),"No detail: treat as unanswered",IF(AND(N46="Yes",R46=""),"No evidence link",IF(AND(S46="Gap",T46=""),"Gap needs owner and date in Comments","OK")))))</f>
        <v>Awaiting response</v>
      </c>
    </row>
    <row r="47" customFormat="false" ht="35.05" hidden="false" customHeight="false" outlineLevel="0" collapsed="false">
      <c r="A47" s="30" t="s">
        <v>480</v>
      </c>
      <c r="B47" s="31" t="s">
        <v>176</v>
      </c>
      <c r="C47" s="6" t="s">
        <v>141</v>
      </c>
      <c r="D47" s="6" t="s">
        <v>481</v>
      </c>
      <c r="E47" s="6" t="s">
        <v>482</v>
      </c>
      <c r="F47" s="6" t="s">
        <v>483</v>
      </c>
      <c r="G47" s="6" t="s">
        <v>484</v>
      </c>
      <c r="H47" s="6" t="s">
        <v>485</v>
      </c>
      <c r="I47" s="6" t="s">
        <v>271</v>
      </c>
      <c r="J47" s="6" t="s">
        <v>486</v>
      </c>
      <c r="K47" s="6" t="s">
        <v>133</v>
      </c>
      <c r="L47" s="31" t="s">
        <v>176</v>
      </c>
      <c r="M47" s="32" t="s">
        <v>185</v>
      </c>
      <c r="N47" s="33"/>
      <c r="O47" s="34"/>
      <c r="P47" s="34" t="s">
        <v>187</v>
      </c>
      <c r="Q47" s="6" t="s">
        <v>487</v>
      </c>
      <c r="R47" s="34"/>
      <c r="S47" s="31" t="s">
        <v>117</v>
      </c>
      <c r="T47" s="35"/>
      <c r="U47" s="29" t="str">
        <f aca="false">IF(B47&lt;&gt;"Y","Out of scope",IF(N47="","Awaiting response",IF(AND(OR(N47="Yes",N47="Partial"),O47=""),"No detail: treat as unanswered",IF(AND(N47="Yes",R47=""),"No evidence link",IF(AND(S47="Gap",T47=""),"Gap needs owner and date in Comments","OK")))))</f>
        <v>Awaiting response</v>
      </c>
    </row>
    <row r="48" customFormat="false" ht="35.05" hidden="false" customHeight="false" outlineLevel="0" collapsed="false">
      <c r="A48" s="30" t="s">
        <v>488</v>
      </c>
      <c r="B48" s="31" t="s">
        <v>176</v>
      </c>
      <c r="C48" s="6" t="s">
        <v>141</v>
      </c>
      <c r="D48" s="6" t="s">
        <v>489</v>
      </c>
      <c r="E48" s="6" t="s">
        <v>490</v>
      </c>
      <c r="F48" s="6" t="s">
        <v>491</v>
      </c>
      <c r="G48" s="6" t="s">
        <v>436</v>
      </c>
      <c r="H48" s="6" t="s">
        <v>400</v>
      </c>
      <c r="I48" s="6" t="s">
        <v>369</v>
      </c>
      <c r="J48" s="6" t="s">
        <v>197</v>
      </c>
      <c r="K48" s="6" t="s">
        <v>134</v>
      </c>
      <c r="L48" s="31" t="s">
        <v>176</v>
      </c>
      <c r="M48" s="32" t="s">
        <v>478</v>
      </c>
      <c r="N48" s="33"/>
      <c r="O48" s="34"/>
      <c r="P48" s="34" t="s">
        <v>492</v>
      </c>
      <c r="Q48" s="6" t="s">
        <v>493</v>
      </c>
      <c r="R48" s="34"/>
      <c r="S48" s="31" t="s">
        <v>117</v>
      </c>
      <c r="T48" s="35"/>
      <c r="U48" s="29" t="str">
        <f aca="false">IF(B48&lt;&gt;"Y","Out of scope",IF(N48="","Awaiting response",IF(AND(OR(N48="Yes",N48="Partial"),O48=""),"No detail: treat as unanswered",IF(AND(N48="Yes",R48=""),"No evidence link",IF(AND(S48="Gap",T48=""),"Gap needs owner and date in Comments","OK")))))</f>
        <v>Awaiting response</v>
      </c>
    </row>
    <row r="49" customFormat="false" ht="35.05" hidden="false" customHeight="false" outlineLevel="0" collapsed="false">
      <c r="A49" s="30" t="s">
        <v>494</v>
      </c>
      <c r="B49" s="31" t="s">
        <v>176</v>
      </c>
      <c r="C49" s="6" t="s">
        <v>141</v>
      </c>
      <c r="D49" s="6" t="s">
        <v>495</v>
      </c>
      <c r="E49" s="6" t="s">
        <v>496</v>
      </c>
      <c r="F49" s="6" t="s">
        <v>497</v>
      </c>
      <c r="G49" s="6" t="s">
        <v>498</v>
      </c>
      <c r="H49" s="6" t="s">
        <v>182</v>
      </c>
      <c r="I49" s="6" t="s">
        <v>369</v>
      </c>
      <c r="J49" s="6" t="s">
        <v>370</v>
      </c>
      <c r="K49" s="6" t="s">
        <v>133</v>
      </c>
      <c r="L49" s="31" t="s">
        <v>236</v>
      </c>
      <c r="M49" s="32" t="s">
        <v>185</v>
      </c>
      <c r="N49" s="33"/>
      <c r="O49" s="34"/>
      <c r="P49" s="34" t="s">
        <v>187</v>
      </c>
      <c r="Q49" s="6" t="s">
        <v>499</v>
      </c>
      <c r="R49" s="34"/>
      <c r="S49" s="31" t="s">
        <v>117</v>
      </c>
      <c r="T49" s="35"/>
      <c r="U49" s="29" t="str">
        <f aca="false">IF(B49&lt;&gt;"Y","Out of scope",IF(N49="","Awaiting response",IF(AND(OR(N49="Yes",N49="Partial"),O49=""),"No detail: treat as unanswered",IF(AND(N49="Yes",R49=""),"No evidence link",IF(AND(S49="Gap",T49=""),"Gap needs owner and date in Comments","OK")))))</f>
        <v>Awaiting response</v>
      </c>
    </row>
    <row r="50" customFormat="false" ht="35.05" hidden="false" customHeight="false" outlineLevel="0" collapsed="false">
      <c r="A50" s="30" t="s">
        <v>500</v>
      </c>
      <c r="B50" s="31" t="s">
        <v>176</v>
      </c>
      <c r="C50" s="6" t="s">
        <v>141</v>
      </c>
      <c r="D50" s="6" t="s">
        <v>501</v>
      </c>
      <c r="E50" s="6" t="s">
        <v>502</v>
      </c>
      <c r="F50" s="6" t="s">
        <v>180</v>
      </c>
      <c r="G50" s="6" t="s">
        <v>503</v>
      </c>
      <c r="H50" s="6" t="s">
        <v>504</v>
      </c>
      <c r="I50" s="6" t="s">
        <v>197</v>
      </c>
      <c r="J50" s="6" t="s">
        <v>197</v>
      </c>
      <c r="K50" s="6" t="s">
        <v>133</v>
      </c>
      <c r="L50" s="31" t="s">
        <v>176</v>
      </c>
      <c r="M50" s="32" t="s">
        <v>185</v>
      </c>
      <c r="N50" s="33"/>
      <c r="O50" s="34"/>
      <c r="P50" s="34" t="s">
        <v>187</v>
      </c>
      <c r="Q50" s="6" t="s">
        <v>505</v>
      </c>
      <c r="R50" s="34"/>
      <c r="S50" s="31" t="s">
        <v>117</v>
      </c>
      <c r="T50" s="35"/>
      <c r="U50" s="29" t="str">
        <f aca="false">IF(B50&lt;&gt;"Y","Out of scope",IF(N50="","Awaiting response",IF(AND(OR(N50="Yes",N50="Partial"),O50=""),"No detail: treat as unanswered",IF(AND(N50="Yes",R50=""),"No evidence link",IF(AND(S50="Gap",T50=""),"Gap needs owner and date in Comments","OK")))))</f>
        <v>Awaiting response</v>
      </c>
    </row>
    <row r="51" customFormat="false" ht="35.05" hidden="false" customHeight="false" outlineLevel="0" collapsed="false">
      <c r="A51" s="30" t="s">
        <v>506</v>
      </c>
      <c r="B51" s="31" t="s">
        <v>176</v>
      </c>
      <c r="C51" s="6" t="s">
        <v>141</v>
      </c>
      <c r="D51" s="6" t="s">
        <v>507</v>
      </c>
      <c r="E51" s="6" t="s">
        <v>508</v>
      </c>
      <c r="F51" s="6" t="s">
        <v>180</v>
      </c>
      <c r="G51" s="6" t="s">
        <v>509</v>
      </c>
      <c r="H51" s="6" t="s">
        <v>510</v>
      </c>
      <c r="I51" s="6" t="s">
        <v>322</v>
      </c>
      <c r="J51" s="6" t="s">
        <v>457</v>
      </c>
      <c r="K51" s="6" t="s">
        <v>133</v>
      </c>
      <c r="L51" s="31" t="s">
        <v>176</v>
      </c>
      <c r="M51" s="32" t="s">
        <v>185</v>
      </c>
      <c r="N51" s="33"/>
      <c r="O51" s="34"/>
      <c r="P51" s="34" t="s">
        <v>187</v>
      </c>
      <c r="Q51" s="6" t="s">
        <v>511</v>
      </c>
      <c r="R51" s="34"/>
      <c r="S51" s="31" t="s">
        <v>117</v>
      </c>
      <c r="T51" s="35"/>
      <c r="U51" s="29" t="str">
        <f aca="false">IF(B51&lt;&gt;"Y","Out of scope",IF(N51="","Awaiting response",IF(AND(OR(N51="Yes",N51="Partial"),O51=""),"No detail: treat as unanswered",IF(AND(N51="Yes",R51=""),"No evidence link",IF(AND(S51="Gap",T51=""),"Gap needs owner and date in Comments","OK")))))</f>
        <v>Awaiting response</v>
      </c>
    </row>
    <row r="52" customFormat="false" ht="35.05" hidden="false" customHeight="false" outlineLevel="0" collapsed="false">
      <c r="A52" s="30" t="s">
        <v>512</v>
      </c>
      <c r="B52" s="31" t="s">
        <v>176</v>
      </c>
      <c r="C52" s="6" t="s">
        <v>141</v>
      </c>
      <c r="D52" s="6" t="s">
        <v>513</v>
      </c>
      <c r="E52" s="6" t="s">
        <v>514</v>
      </c>
      <c r="F52" s="6" t="s">
        <v>515</v>
      </c>
      <c r="G52" s="6" t="s">
        <v>516</v>
      </c>
      <c r="H52" s="6" t="s">
        <v>517</v>
      </c>
      <c r="I52" s="6" t="s">
        <v>322</v>
      </c>
      <c r="J52" s="6" t="s">
        <v>518</v>
      </c>
      <c r="K52" s="6" t="s">
        <v>133</v>
      </c>
      <c r="L52" s="31" t="s">
        <v>176</v>
      </c>
      <c r="M52" s="32" t="s">
        <v>185</v>
      </c>
      <c r="N52" s="33"/>
      <c r="O52" s="34"/>
      <c r="P52" s="34" t="s">
        <v>187</v>
      </c>
      <c r="Q52" s="6" t="s">
        <v>519</v>
      </c>
      <c r="R52" s="34"/>
      <c r="S52" s="31" t="s">
        <v>117</v>
      </c>
      <c r="T52" s="35"/>
      <c r="U52" s="29" t="str">
        <f aca="false">IF(B52&lt;&gt;"Y","Out of scope",IF(N52="","Awaiting response",IF(AND(OR(N52="Yes",N52="Partial"),O52=""),"No detail: treat as unanswered",IF(AND(N52="Yes",R52=""),"No evidence link",IF(AND(S52="Gap",T52=""),"Gap needs owner and date in Comments","OK")))))</f>
        <v>Awaiting response</v>
      </c>
    </row>
    <row r="53" customFormat="false" ht="35.05" hidden="false" customHeight="false" outlineLevel="0" collapsed="false">
      <c r="A53" s="30" t="s">
        <v>520</v>
      </c>
      <c r="B53" s="31" t="s">
        <v>176</v>
      </c>
      <c r="C53" s="6" t="s">
        <v>141</v>
      </c>
      <c r="D53" s="6" t="s">
        <v>521</v>
      </c>
      <c r="E53" s="6" t="s">
        <v>522</v>
      </c>
      <c r="F53" s="6" t="s">
        <v>180</v>
      </c>
      <c r="G53" s="6" t="s">
        <v>523</v>
      </c>
      <c r="H53" s="6" t="s">
        <v>182</v>
      </c>
      <c r="I53" s="6" t="s">
        <v>524</v>
      </c>
      <c r="J53" s="6" t="s">
        <v>184</v>
      </c>
      <c r="K53" s="6" t="s">
        <v>133</v>
      </c>
      <c r="L53" s="31" t="s">
        <v>236</v>
      </c>
      <c r="M53" s="32" t="s">
        <v>185</v>
      </c>
      <c r="N53" s="33"/>
      <c r="O53" s="34"/>
      <c r="P53" s="34" t="s">
        <v>187</v>
      </c>
      <c r="Q53" s="6" t="s">
        <v>525</v>
      </c>
      <c r="R53" s="34"/>
      <c r="S53" s="31" t="s">
        <v>117</v>
      </c>
      <c r="T53" s="35"/>
      <c r="U53" s="29" t="str">
        <f aca="false">IF(B53&lt;&gt;"Y","Out of scope",IF(N53="","Awaiting response",IF(AND(OR(N53="Yes",N53="Partial"),O53=""),"No detail: treat as unanswered",IF(AND(N53="Yes",R53=""),"No evidence link",IF(AND(S53="Gap",T53=""),"Gap needs owner and date in Comments","OK")))))</f>
        <v>Awaiting response</v>
      </c>
    </row>
    <row r="54" customFormat="false" ht="35.05" hidden="false" customHeight="false" outlineLevel="0" collapsed="false">
      <c r="A54" s="30" t="s">
        <v>526</v>
      </c>
      <c r="B54" s="31" t="s">
        <v>176</v>
      </c>
      <c r="C54" s="6" t="s">
        <v>141</v>
      </c>
      <c r="D54" s="6" t="s">
        <v>527</v>
      </c>
      <c r="E54" s="6" t="s">
        <v>528</v>
      </c>
      <c r="F54" s="6" t="s">
        <v>529</v>
      </c>
      <c r="G54" s="6" t="s">
        <v>530</v>
      </c>
      <c r="H54" s="6" t="s">
        <v>531</v>
      </c>
      <c r="I54" s="6" t="s">
        <v>271</v>
      </c>
      <c r="J54" s="6" t="s">
        <v>197</v>
      </c>
      <c r="K54" s="6" t="s">
        <v>133</v>
      </c>
      <c r="L54" s="31" t="s">
        <v>236</v>
      </c>
      <c r="M54" s="32" t="s">
        <v>478</v>
      </c>
      <c r="N54" s="33"/>
      <c r="O54" s="34"/>
      <c r="P54" s="34" t="s">
        <v>371</v>
      </c>
      <c r="Q54" s="6" t="s">
        <v>532</v>
      </c>
      <c r="R54" s="34"/>
      <c r="S54" s="31" t="s">
        <v>117</v>
      </c>
      <c r="T54" s="35"/>
      <c r="U54" s="29" t="str">
        <f aca="false">IF(B54&lt;&gt;"Y","Out of scope",IF(N54="","Awaiting response",IF(AND(OR(N54="Yes",N54="Partial"),O54=""),"No detail: treat as unanswered",IF(AND(N54="Yes",R54=""),"No evidence link",IF(AND(S54="Gap",T54=""),"Gap needs owner and date in Comments","OK")))))</f>
        <v>Awaiting response</v>
      </c>
    </row>
    <row r="55" customFormat="false" ht="35.05" hidden="false" customHeight="false" outlineLevel="0" collapsed="false">
      <c r="A55" s="30" t="s">
        <v>533</v>
      </c>
      <c r="B55" s="31" t="s">
        <v>176</v>
      </c>
      <c r="C55" s="6" t="s">
        <v>141</v>
      </c>
      <c r="D55" s="6" t="s">
        <v>534</v>
      </c>
      <c r="E55" s="6" t="s">
        <v>535</v>
      </c>
      <c r="F55" s="6" t="s">
        <v>536</v>
      </c>
      <c r="G55" s="6" t="s">
        <v>347</v>
      </c>
      <c r="H55" s="6" t="s">
        <v>537</v>
      </c>
      <c r="I55" s="6" t="s">
        <v>271</v>
      </c>
      <c r="J55" s="6" t="s">
        <v>184</v>
      </c>
      <c r="K55" s="6" t="s">
        <v>135</v>
      </c>
      <c r="L55" s="31" t="s">
        <v>176</v>
      </c>
      <c r="M55" s="32" t="s">
        <v>185</v>
      </c>
      <c r="N55" s="33"/>
      <c r="O55" s="34"/>
      <c r="P55" s="34" t="s">
        <v>198</v>
      </c>
      <c r="Q55" s="6" t="s">
        <v>538</v>
      </c>
      <c r="R55" s="34"/>
      <c r="S55" s="31" t="s">
        <v>117</v>
      </c>
      <c r="T55" s="35"/>
      <c r="U55" s="29" t="str">
        <f aca="false">IF(B55&lt;&gt;"Y","Out of scope",IF(N55="","Awaiting response",IF(AND(OR(N55="Yes",N55="Partial"),O55=""),"No detail: treat as unanswered",IF(AND(N55="Yes",R55=""),"No evidence link",IF(AND(S55="Gap",T55=""),"Gap needs owner and date in Comments","OK")))))</f>
        <v>Awaiting response</v>
      </c>
    </row>
    <row r="56" customFormat="false" ht="35.05" hidden="false" customHeight="false" outlineLevel="0" collapsed="false">
      <c r="A56" s="30" t="s">
        <v>539</v>
      </c>
      <c r="B56" s="31" t="s">
        <v>176</v>
      </c>
      <c r="C56" s="6" t="s">
        <v>141</v>
      </c>
      <c r="D56" s="6" t="s">
        <v>540</v>
      </c>
      <c r="E56" s="6" t="s">
        <v>541</v>
      </c>
      <c r="F56" s="6" t="s">
        <v>180</v>
      </c>
      <c r="G56" s="6" t="s">
        <v>542</v>
      </c>
      <c r="H56" s="6" t="s">
        <v>485</v>
      </c>
      <c r="I56" s="6" t="s">
        <v>543</v>
      </c>
      <c r="J56" s="6" t="s">
        <v>544</v>
      </c>
      <c r="K56" s="6" t="s">
        <v>133</v>
      </c>
      <c r="L56" s="31" t="s">
        <v>176</v>
      </c>
      <c r="M56" s="32" t="s">
        <v>185</v>
      </c>
      <c r="N56" s="33"/>
      <c r="O56" s="34"/>
      <c r="P56" s="34" t="s">
        <v>393</v>
      </c>
      <c r="Q56" s="6" t="s">
        <v>545</v>
      </c>
      <c r="R56" s="34"/>
      <c r="S56" s="31" t="s">
        <v>117</v>
      </c>
      <c r="T56" s="35"/>
      <c r="U56" s="29" t="str">
        <f aca="false">IF(B56&lt;&gt;"Y","Out of scope",IF(N56="","Awaiting response",IF(AND(OR(N56="Yes",N56="Partial"),O56=""),"No detail: treat as unanswered",IF(AND(N56="Yes",R56=""),"No evidence link",IF(AND(S56="Gap",T56=""),"Gap needs owner and date in Comments","OK")))))</f>
        <v>Awaiting response</v>
      </c>
    </row>
    <row r="57" customFormat="false" ht="35.05" hidden="false" customHeight="false" outlineLevel="0" collapsed="false">
      <c r="A57" s="30" t="s">
        <v>546</v>
      </c>
      <c r="B57" s="31" t="s">
        <v>176</v>
      </c>
      <c r="C57" s="6" t="s">
        <v>141</v>
      </c>
      <c r="D57" s="6" t="s">
        <v>547</v>
      </c>
      <c r="E57" s="6" t="s">
        <v>548</v>
      </c>
      <c r="F57" s="6" t="s">
        <v>262</v>
      </c>
      <c r="G57" s="6" t="s">
        <v>549</v>
      </c>
      <c r="H57" s="6" t="s">
        <v>550</v>
      </c>
      <c r="I57" s="6" t="s">
        <v>197</v>
      </c>
      <c r="J57" s="6" t="s">
        <v>197</v>
      </c>
      <c r="K57" s="6" t="s">
        <v>135</v>
      </c>
      <c r="L57" s="31" t="s">
        <v>236</v>
      </c>
      <c r="M57" s="32" t="s">
        <v>185</v>
      </c>
      <c r="N57" s="33"/>
      <c r="O57" s="34"/>
      <c r="P57" s="34" t="s">
        <v>198</v>
      </c>
      <c r="Q57" s="6" t="s">
        <v>551</v>
      </c>
      <c r="R57" s="34"/>
      <c r="S57" s="31" t="s">
        <v>117</v>
      </c>
      <c r="T57" s="35"/>
      <c r="U57" s="29" t="str">
        <f aca="false">IF(B57&lt;&gt;"Y","Out of scope",IF(N57="","Awaiting response",IF(AND(OR(N57="Yes",N57="Partial"),O57=""),"No detail: treat as unanswered",IF(AND(N57="Yes",R57=""),"No evidence link",IF(AND(S57="Gap",T57=""),"Gap needs owner and date in Comments","OK")))))</f>
        <v>Awaiting response</v>
      </c>
    </row>
    <row r="58" customFormat="false" ht="23.85" hidden="false" customHeight="false" outlineLevel="0" collapsed="false">
      <c r="A58" s="30" t="s">
        <v>552</v>
      </c>
      <c r="B58" s="31" t="s">
        <v>176</v>
      </c>
      <c r="C58" s="6" t="s">
        <v>142</v>
      </c>
      <c r="D58" s="6" t="s">
        <v>553</v>
      </c>
      <c r="E58" s="6" t="s">
        <v>554</v>
      </c>
      <c r="F58" s="6" t="s">
        <v>268</v>
      </c>
      <c r="G58" s="6" t="s">
        <v>412</v>
      </c>
      <c r="H58" s="6" t="s">
        <v>413</v>
      </c>
      <c r="I58" s="6" t="s">
        <v>271</v>
      </c>
      <c r="J58" s="6" t="s">
        <v>197</v>
      </c>
      <c r="K58" s="6" t="s">
        <v>131</v>
      </c>
      <c r="L58" s="31" t="s">
        <v>176</v>
      </c>
      <c r="M58" s="32" t="s">
        <v>185</v>
      </c>
      <c r="N58" s="33"/>
      <c r="O58" s="34"/>
      <c r="P58" s="34" t="s">
        <v>222</v>
      </c>
      <c r="Q58" s="6" t="s">
        <v>555</v>
      </c>
      <c r="R58" s="34"/>
      <c r="S58" s="31" t="s">
        <v>117</v>
      </c>
      <c r="T58" s="35"/>
      <c r="U58" s="29" t="str">
        <f aca="false">IF(B58&lt;&gt;"Y","Out of scope",IF(N58="","Awaiting response",IF(AND(OR(N58="Yes",N58="Partial"),O58=""),"No detail: treat as unanswered",IF(AND(N58="Yes",R58=""),"No evidence link",IF(AND(S58="Gap",T58=""),"Gap needs owner and date in Comments","OK")))))</f>
        <v>Awaiting response</v>
      </c>
    </row>
    <row r="59" customFormat="false" ht="35.05" hidden="false" customHeight="false" outlineLevel="0" collapsed="false">
      <c r="A59" s="30" t="s">
        <v>556</v>
      </c>
      <c r="B59" s="31" t="s">
        <v>176</v>
      </c>
      <c r="C59" s="6" t="s">
        <v>142</v>
      </c>
      <c r="D59" s="6" t="s">
        <v>557</v>
      </c>
      <c r="E59" s="6" t="s">
        <v>558</v>
      </c>
      <c r="F59" s="6" t="s">
        <v>268</v>
      </c>
      <c r="G59" s="6" t="s">
        <v>559</v>
      </c>
      <c r="H59" s="6" t="s">
        <v>413</v>
      </c>
      <c r="I59" s="6" t="s">
        <v>271</v>
      </c>
      <c r="J59" s="6" t="s">
        <v>197</v>
      </c>
      <c r="K59" s="6" t="s">
        <v>131</v>
      </c>
      <c r="L59" s="31" t="s">
        <v>176</v>
      </c>
      <c r="M59" s="32" t="s">
        <v>278</v>
      </c>
      <c r="N59" s="33"/>
      <c r="O59" s="34"/>
      <c r="P59" s="34" t="s">
        <v>560</v>
      </c>
      <c r="Q59" s="6" t="s">
        <v>561</v>
      </c>
      <c r="R59" s="34"/>
      <c r="S59" s="31" t="s">
        <v>117</v>
      </c>
      <c r="T59" s="35"/>
      <c r="U59" s="29" t="str">
        <f aca="false">IF(B59&lt;&gt;"Y","Out of scope",IF(N59="","Awaiting response",IF(AND(OR(N59="Yes",N59="Partial"),O59=""),"No detail: treat as unanswered",IF(AND(N59="Yes",R59=""),"No evidence link",IF(AND(S59="Gap",T59=""),"Gap needs owner and date in Comments","OK")))))</f>
        <v>Awaiting response</v>
      </c>
    </row>
    <row r="60" customFormat="false" ht="35.05" hidden="false" customHeight="false" outlineLevel="0" collapsed="false">
      <c r="A60" s="30" t="s">
        <v>562</v>
      </c>
      <c r="B60" s="31" t="s">
        <v>176</v>
      </c>
      <c r="C60" s="6" t="s">
        <v>142</v>
      </c>
      <c r="D60" s="6" t="s">
        <v>563</v>
      </c>
      <c r="E60" s="6" t="s">
        <v>564</v>
      </c>
      <c r="F60" s="6" t="s">
        <v>565</v>
      </c>
      <c r="G60" s="6" t="s">
        <v>566</v>
      </c>
      <c r="H60" s="6" t="s">
        <v>270</v>
      </c>
      <c r="I60" s="6" t="s">
        <v>271</v>
      </c>
      <c r="J60" s="6" t="s">
        <v>567</v>
      </c>
      <c r="K60" s="6" t="s">
        <v>131</v>
      </c>
      <c r="L60" s="31" t="s">
        <v>176</v>
      </c>
      <c r="M60" s="32" t="s">
        <v>278</v>
      </c>
      <c r="N60" s="33"/>
      <c r="O60" s="34"/>
      <c r="P60" s="34" t="s">
        <v>371</v>
      </c>
      <c r="Q60" s="6" t="s">
        <v>568</v>
      </c>
      <c r="R60" s="34"/>
      <c r="S60" s="31" t="s">
        <v>117</v>
      </c>
      <c r="T60" s="35"/>
      <c r="U60" s="29" t="str">
        <f aca="false">IF(B60&lt;&gt;"Y","Out of scope",IF(N60="","Awaiting response",IF(AND(OR(N60="Yes",N60="Partial"),O60=""),"No detail: treat as unanswered",IF(AND(N60="Yes",R60=""),"No evidence link",IF(AND(S60="Gap",T60=""),"Gap needs owner and date in Comments","OK")))))</f>
        <v>Awaiting response</v>
      </c>
    </row>
    <row r="61" customFormat="false" ht="35.05" hidden="false" customHeight="false" outlineLevel="0" collapsed="false">
      <c r="A61" s="30" t="s">
        <v>569</v>
      </c>
      <c r="B61" s="31" t="s">
        <v>176</v>
      </c>
      <c r="C61" s="6" t="s">
        <v>142</v>
      </c>
      <c r="D61" s="6" t="s">
        <v>570</v>
      </c>
      <c r="E61" s="6" t="s">
        <v>571</v>
      </c>
      <c r="F61" s="6" t="s">
        <v>411</v>
      </c>
      <c r="G61" s="6" t="s">
        <v>572</v>
      </c>
      <c r="H61" s="6" t="s">
        <v>573</v>
      </c>
      <c r="I61" s="6" t="s">
        <v>197</v>
      </c>
      <c r="J61" s="6" t="s">
        <v>197</v>
      </c>
      <c r="K61" s="6" t="s">
        <v>132</v>
      </c>
      <c r="L61" s="31" t="s">
        <v>176</v>
      </c>
      <c r="M61" s="32" t="s">
        <v>185</v>
      </c>
      <c r="N61" s="33"/>
      <c r="O61" s="34"/>
      <c r="P61" s="34" t="s">
        <v>272</v>
      </c>
      <c r="Q61" s="6" t="s">
        <v>574</v>
      </c>
      <c r="R61" s="34"/>
      <c r="S61" s="31" t="s">
        <v>117</v>
      </c>
      <c r="T61" s="35"/>
      <c r="U61" s="29" t="str">
        <f aca="false">IF(B61&lt;&gt;"Y","Out of scope",IF(N61="","Awaiting response",IF(AND(OR(N61="Yes",N61="Partial"),O61=""),"No detail: treat as unanswered",IF(AND(N61="Yes",R61=""),"No evidence link",IF(AND(S61="Gap",T61=""),"Gap needs owner and date in Comments","OK")))))</f>
        <v>Awaiting response</v>
      </c>
    </row>
    <row r="62" customFormat="false" ht="35.05" hidden="false" customHeight="false" outlineLevel="0" collapsed="false">
      <c r="A62" s="30" t="s">
        <v>575</v>
      </c>
      <c r="B62" s="31" t="s">
        <v>176</v>
      </c>
      <c r="C62" s="6" t="s">
        <v>142</v>
      </c>
      <c r="D62" s="6" t="s">
        <v>576</v>
      </c>
      <c r="E62" s="6" t="s">
        <v>577</v>
      </c>
      <c r="F62" s="6" t="s">
        <v>268</v>
      </c>
      <c r="G62" s="6" t="s">
        <v>269</v>
      </c>
      <c r="H62" s="6" t="s">
        <v>578</v>
      </c>
      <c r="I62" s="6" t="s">
        <v>271</v>
      </c>
      <c r="J62" s="6" t="s">
        <v>197</v>
      </c>
      <c r="K62" s="6" t="s">
        <v>131</v>
      </c>
      <c r="L62" s="31" t="s">
        <v>176</v>
      </c>
      <c r="M62" s="32" t="s">
        <v>185</v>
      </c>
      <c r="N62" s="33"/>
      <c r="O62" s="34"/>
      <c r="P62" s="34" t="s">
        <v>272</v>
      </c>
      <c r="Q62" s="6" t="s">
        <v>579</v>
      </c>
      <c r="R62" s="34"/>
      <c r="S62" s="31" t="s">
        <v>117</v>
      </c>
      <c r="T62" s="35"/>
      <c r="U62" s="29" t="str">
        <f aca="false">IF(B62&lt;&gt;"Y","Out of scope",IF(N62="","Awaiting response",IF(AND(OR(N62="Yes",N62="Partial"),O62=""),"No detail: treat as unanswered",IF(AND(N62="Yes",R62=""),"No evidence link",IF(AND(S62="Gap",T62=""),"Gap needs owner and date in Comments","OK")))))</f>
        <v>Awaiting response</v>
      </c>
    </row>
    <row r="63" customFormat="false" ht="35.05" hidden="false" customHeight="false" outlineLevel="0" collapsed="false">
      <c r="A63" s="30" t="s">
        <v>580</v>
      </c>
      <c r="B63" s="31" t="s">
        <v>176</v>
      </c>
      <c r="C63" s="6" t="s">
        <v>142</v>
      </c>
      <c r="D63" s="6" t="s">
        <v>581</v>
      </c>
      <c r="E63" s="6" t="s">
        <v>582</v>
      </c>
      <c r="F63" s="6" t="s">
        <v>583</v>
      </c>
      <c r="G63" s="6" t="s">
        <v>476</v>
      </c>
      <c r="H63" s="6" t="s">
        <v>182</v>
      </c>
      <c r="I63" s="6" t="s">
        <v>477</v>
      </c>
      <c r="J63" s="6" t="s">
        <v>197</v>
      </c>
      <c r="K63" s="6" t="s">
        <v>133</v>
      </c>
      <c r="L63" s="31" t="s">
        <v>176</v>
      </c>
      <c r="M63" s="32" t="s">
        <v>185</v>
      </c>
      <c r="N63" s="33"/>
      <c r="O63" s="34"/>
      <c r="P63" s="34" t="s">
        <v>393</v>
      </c>
      <c r="Q63" s="6" t="s">
        <v>584</v>
      </c>
      <c r="R63" s="34"/>
      <c r="S63" s="31" t="s">
        <v>117</v>
      </c>
      <c r="T63" s="35"/>
      <c r="U63" s="29" t="str">
        <f aca="false">IF(B63&lt;&gt;"Y","Out of scope",IF(N63="","Awaiting response",IF(AND(OR(N63="Yes",N63="Partial"),O63=""),"No detail: treat as unanswered",IF(AND(N63="Yes",R63=""),"No evidence link",IF(AND(S63="Gap",T63=""),"Gap needs owner and date in Comments","OK")))))</f>
        <v>Awaiting response</v>
      </c>
    </row>
    <row r="64" customFormat="false" ht="35.05" hidden="false" customHeight="false" outlineLevel="0" collapsed="false">
      <c r="A64" s="30" t="s">
        <v>585</v>
      </c>
      <c r="B64" s="31" t="s">
        <v>176</v>
      </c>
      <c r="C64" s="6" t="s">
        <v>142</v>
      </c>
      <c r="D64" s="6" t="s">
        <v>586</v>
      </c>
      <c r="E64" s="6" t="s">
        <v>587</v>
      </c>
      <c r="F64" s="6" t="s">
        <v>588</v>
      </c>
      <c r="G64" s="6" t="s">
        <v>589</v>
      </c>
      <c r="H64" s="6" t="s">
        <v>531</v>
      </c>
      <c r="I64" s="6" t="s">
        <v>271</v>
      </c>
      <c r="J64" s="6" t="s">
        <v>567</v>
      </c>
      <c r="K64" s="6" t="s">
        <v>133</v>
      </c>
      <c r="L64" s="31" t="s">
        <v>236</v>
      </c>
      <c r="M64" s="32" t="s">
        <v>185</v>
      </c>
      <c r="N64" s="33"/>
      <c r="O64" s="34"/>
      <c r="P64" s="34" t="s">
        <v>214</v>
      </c>
      <c r="Q64" s="6" t="s">
        <v>590</v>
      </c>
      <c r="R64" s="34"/>
      <c r="S64" s="31" t="s">
        <v>117</v>
      </c>
      <c r="T64" s="35"/>
      <c r="U64" s="29" t="str">
        <f aca="false">IF(B64&lt;&gt;"Y","Out of scope",IF(N64="","Awaiting response",IF(AND(OR(N64="Yes",N64="Partial"),O64=""),"No detail: treat as unanswered",IF(AND(N64="Yes",R64=""),"No evidence link",IF(AND(S64="Gap",T64=""),"Gap needs owner and date in Comments","OK")))))</f>
        <v>Awaiting response</v>
      </c>
    </row>
    <row r="65" customFormat="false" ht="35.05" hidden="false" customHeight="false" outlineLevel="0" collapsed="false">
      <c r="A65" s="30" t="s">
        <v>591</v>
      </c>
      <c r="B65" s="31" t="s">
        <v>176</v>
      </c>
      <c r="C65" s="6" t="s">
        <v>142</v>
      </c>
      <c r="D65" s="6" t="s">
        <v>592</v>
      </c>
      <c r="E65" s="6" t="s">
        <v>593</v>
      </c>
      <c r="F65" s="6" t="s">
        <v>469</v>
      </c>
      <c r="G65" s="6" t="s">
        <v>594</v>
      </c>
      <c r="H65" s="6" t="s">
        <v>485</v>
      </c>
      <c r="I65" s="6" t="s">
        <v>271</v>
      </c>
      <c r="J65" s="6" t="s">
        <v>486</v>
      </c>
      <c r="K65" s="6" t="s">
        <v>134</v>
      </c>
      <c r="L65" s="31" t="s">
        <v>176</v>
      </c>
      <c r="M65" s="32" t="s">
        <v>478</v>
      </c>
      <c r="N65" s="33"/>
      <c r="O65" s="34"/>
      <c r="P65" s="34" t="s">
        <v>187</v>
      </c>
      <c r="Q65" s="6" t="s">
        <v>595</v>
      </c>
      <c r="R65" s="34"/>
      <c r="S65" s="31" t="s">
        <v>117</v>
      </c>
      <c r="T65" s="35"/>
      <c r="U65" s="29" t="str">
        <f aca="false">IF(B65&lt;&gt;"Y","Out of scope",IF(N65="","Awaiting response",IF(AND(OR(N65="Yes",N65="Partial"),O65=""),"No detail: treat as unanswered",IF(AND(N65="Yes",R65=""),"No evidence link",IF(AND(S65="Gap",T65=""),"Gap needs owner and date in Comments","OK")))))</f>
        <v>Awaiting response</v>
      </c>
    </row>
    <row r="66" customFormat="false" ht="35.05" hidden="false" customHeight="false" outlineLevel="0" collapsed="false">
      <c r="A66" s="30" t="s">
        <v>596</v>
      </c>
      <c r="B66" s="31" t="s">
        <v>176</v>
      </c>
      <c r="C66" s="6" t="s">
        <v>142</v>
      </c>
      <c r="D66" s="6" t="s">
        <v>597</v>
      </c>
      <c r="E66" s="6" t="s">
        <v>598</v>
      </c>
      <c r="F66" s="6" t="s">
        <v>599</v>
      </c>
      <c r="G66" s="6" t="s">
        <v>385</v>
      </c>
      <c r="H66" s="6" t="s">
        <v>413</v>
      </c>
      <c r="I66" s="6" t="s">
        <v>600</v>
      </c>
      <c r="J66" s="6" t="s">
        <v>601</v>
      </c>
      <c r="K66" s="6" t="s">
        <v>133</v>
      </c>
      <c r="L66" s="31" t="s">
        <v>176</v>
      </c>
      <c r="M66" s="32" t="s">
        <v>185</v>
      </c>
      <c r="N66" s="33"/>
      <c r="O66" s="34"/>
      <c r="P66" s="34" t="s">
        <v>214</v>
      </c>
      <c r="Q66" s="6" t="s">
        <v>602</v>
      </c>
      <c r="R66" s="34"/>
      <c r="S66" s="31" t="s">
        <v>117</v>
      </c>
      <c r="T66" s="35"/>
      <c r="U66" s="29" t="str">
        <f aca="false">IF(B66&lt;&gt;"Y","Out of scope",IF(N66="","Awaiting response",IF(AND(OR(N66="Yes",N66="Partial"),O66=""),"No detail: treat as unanswered",IF(AND(N66="Yes",R66=""),"No evidence link",IF(AND(S66="Gap",T66=""),"Gap needs owner and date in Comments","OK")))))</f>
        <v>Awaiting response</v>
      </c>
    </row>
    <row r="67" customFormat="false" ht="35.05" hidden="false" customHeight="false" outlineLevel="0" collapsed="false">
      <c r="A67" s="30" t="s">
        <v>603</v>
      </c>
      <c r="B67" s="31" t="s">
        <v>176</v>
      </c>
      <c r="C67" s="6" t="s">
        <v>142</v>
      </c>
      <c r="D67" s="6" t="s">
        <v>604</v>
      </c>
      <c r="E67" s="6" t="s">
        <v>605</v>
      </c>
      <c r="F67" s="6" t="s">
        <v>606</v>
      </c>
      <c r="G67" s="6" t="s">
        <v>607</v>
      </c>
      <c r="H67" s="6" t="s">
        <v>608</v>
      </c>
      <c r="I67" s="6" t="s">
        <v>197</v>
      </c>
      <c r="J67" s="6" t="s">
        <v>197</v>
      </c>
      <c r="K67" s="6" t="s">
        <v>131</v>
      </c>
      <c r="L67" s="31" t="s">
        <v>236</v>
      </c>
      <c r="M67" s="32" t="s">
        <v>278</v>
      </c>
      <c r="N67" s="33"/>
      <c r="O67" s="34"/>
      <c r="P67" s="34" t="s">
        <v>198</v>
      </c>
      <c r="Q67" s="6" t="s">
        <v>609</v>
      </c>
      <c r="R67" s="34"/>
      <c r="S67" s="31" t="s">
        <v>117</v>
      </c>
      <c r="T67" s="35"/>
      <c r="U67" s="29" t="str">
        <f aca="false">IF(B67&lt;&gt;"Y","Out of scope",IF(N67="","Awaiting response",IF(AND(OR(N67="Yes",N67="Partial"),O67=""),"No detail: treat as unanswered",IF(AND(N67="Yes",R67=""),"No evidence link",IF(AND(S67="Gap",T67=""),"Gap needs owner and date in Comments","OK")))))</f>
        <v>Awaiting response</v>
      </c>
    </row>
    <row r="68" customFormat="false" ht="35.05" hidden="false" customHeight="false" outlineLevel="0" collapsed="false">
      <c r="A68" s="30" t="s">
        <v>610</v>
      </c>
      <c r="B68" s="31" t="s">
        <v>176</v>
      </c>
      <c r="C68" s="6" t="s">
        <v>142</v>
      </c>
      <c r="D68" s="6" t="s">
        <v>611</v>
      </c>
      <c r="E68" s="6" t="s">
        <v>612</v>
      </c>
      <c r="F68" s="6" t="s">
        <v>268</v>
      </c>
      <c r="G68" s="6" t="s">
        <v>613</v>
      </c>
      <c r="H68" s="6" t="s">
        <v>614</v>
      </c>
      <c r="I68" s="6" t="s">
        <v>197</v>
      </c>
      <c r="J68" s="6" t="s">
        <v>197</v>
      </c>
      <c r="K68" s="6" t="s">
        <v>135</v>
      </c>
      <c r="L68" s="31" t="s">
        <v>236</v>
      </c>
      <c r="M68" s="32" t="s">
        <v>278</v>
      </c>
      <c r="N68" s="33"/>
      <c r="O68" s="34"/>
      <c r="P68" s="34" t="s">
        <v>198</v>
      </c>
      <c r="Q68" s="6" t="s">
        <v>615</v>
      </c>
      <c r="R68" s="34"/>
      <c r="S68" s="31" t="s">
        <v>117</v>
      </c>
      <c r="T68" s="35"/>
      <c r="U68" s="29" t="str">
        <f aca="false">IF(B68&lt;&gt;"Y","Out of scope",IF(N68="","Awaiting response",IF(AND(OR(N68="Yes",N68="Partial"),O68=""),"No detail: treat as unanswered",IF(AND(N68="Yes",R68=""),"No evidence link",IF(AND(S68="Gap",T68=""),"Gap needs owner and date in Comments","OK")))))</f>
        <v>Awaiting response</v>
      </c>
    </row>
    <row r="69" customFormat="false" ht="35.05" hidden="false" customHeight="false" outlineLevel="0" collapsed="false">
      <c r="A69" s="30" t="s">
        <v>616</v>
      </c>
      <c r="B69" s="31" t="s">
        <v>176</v>
      </c>
      <c r="C69" s="6" t="s">
        <v>142</v>
      </c>
      <c r="D69" s="6" t="s">
        <v>617</v>
      </c>
      <c r="E69" s="6" t="s">
        <v>618</v>
      </c>
      <c r="F69" s="6" t="s">
        <v>268</v>
      </c>
      <c r="G69" s="6" t="s">
        <v>549</v>
      </c>
      <c r="H69" s="6" t="s">
        <v>197</v>
      </c>
      <c r="I69" s="6" t="s">
        <v>197</v>
      </c>
      <c r="J69" s="6" t="s">
        <v>197</v>
      </c>
      <c r="K69" s="6" t="s">
        <v>132</v>
      </c>
      <c r="L69" s="31" t="s">
        <v>236</v>
      </c>
      <c r="M69" s="32" t="s">
        <v>278</v>
      </c>
      <c r="N69" s="33"/>
      <c r="O69" s="34"/>
      <c r="P69" s="34" t="s">
        <v>257</v>
      </c>
      <c r="Q69" s="6" t="s">
        <v>619</v>
      </c>
      <c r="R69" s="34"/>
      <c r="S69" s="31" t="s">
        <v>117</v>
      </c>
      <c r="T69" s="35"/>
      <c r="U69" s="29" t="str">
        <f aca="false">IF(B69&lt;&gt;"Y","Out of scope",IF(N69="","Awaiting response",IF(AND(OR(N69="Yes",N69="Partial"),O69=""),"No detail: treat as unanswered",IF(AND(N69="Yes",R69=""),"No evidence link",IF(AND(S69="Gap",T69=""),"Gap needs owner and date in Comments","OK")))))</f>
        <v>Awaiting response</v>
      </c>
    </row>
    <row r="70" customFormat="false" ht="35.05" hidden="false" customHeight="false" outlineLevel="0" collapsed="false">
      <c r="A70" s="30" t="s">
        <v>620</v>
      </c>
      <c r="B70" s="31" t="s">
        <v>176</v>
      </c>
      <c r="C70" s="6" t="s">
        <v>143</v>
      </c>
      <c r="D70" s="6" t="s">
        <v>621</v>
      </c>
      <c r="E70" s="6" t="s">
        <v>622</v>
      </c>
      <c r="F70" s="6" t="s">
        <v>180</v>
      </c>
      <c r="G70" s="6" t="s">
        <v>623</v>
      </c>
      <c r="H70" s="6" t="s">
        <v>182</v>
      </c>
      <c r="I70" s="6" t="s">
        <v>183</v>
      </c>
      <c r="J70" s="6" t="s">
        <v>184</v>
      </c>
      <c r="K70" s="6" t="s">
        <v>133</v>
      </c>
      <c r="L70" s="31" t="s">
        <v>176</v>
      </c>
      <c r="M70" s="32" t="s">
        <v>185</v>
      </c>
      <c r="N70" s="33"/>
      <c r="O70" s="34"/>
      <c r="P70" s="34" t="s">
        <v>187</v>
      </c>
      <c r="Q70" s="6" t="s">
        <v>188</v>
      </c>
      <c r="R70" s="34"/>
      <c r="S70" s="31" t="s">
        <v>117</v>
      </c>
      <c r="T70" s="35"/>
      <c r="U70" s="29" t="str">
        <f aca="false">IF(B70&lt;&gt;"Y","Out of scope",IF(N70="","Awaiting response",IF(AND(OR(N70="Yes",N70="Partial"),O70=""),"No detail: treat as unanswered",IF(AND(N70="Yes",R70=""),"No evidence link",IF(AND(S70="Gap",T70=""),"Gap needs owner and date in Comments","OK")))))</f>
        <v>Awaiting response</v>
      </c>
    </row>
    <row r="71" customFormat="false" ht="35.05" hidden="false" customHeight="false" outlineLevel="0" collapsed="false">
      <c r="A71" s="30" t="s">
        <v>624</v>
      </c>
      <c r="B71" s="31" t="s">
        <v>176</v>
      </c>
      <c r="C71" s="6" t="s">
        <v>143</v>
      </c>
      <c r="D71" s="6" t="s">
        <v>625</v>
      </c>
      <c r="E71" s="6" t="s">
        <v>626</v>
      </c>
      <c r="F71" s="6" t="s">
        <v>627</v>
      </c>
      <c r="G71" s="6" t="s">
        <v>623</v>
      </c>
      <c r="H71" s="6" t="s">
        <v>182</v>
      </c>
      <c r="I71" s="6" t="s">
        <v>628</v>
      </c>
      <c r="J71" s="6" t="s">
        <v>450</v>
      </c>
      <c r="K71" s="6" t="s">
        <v>133</v>
      </c>
      <c r="L71" s="31" t="s">
        <v>176</v>
      </c>
      <c r="M71" s="32" t="s">
        <v>185</v>
      </c>
      <c r="N71" s="33"/>
      <c r="O71" s="34"/>
      <c r="P71" s="34" t="s">
        <v>187</v>
      </c>
      <c r="Q71" s="6" t="s">
        <v>629</v>
      </c>
      <c r="R71" s="34"/>
      <c r="S71" s="31" t="s">
        <v>117</v>
      </c>
      <c r="T71" s="35"/>
      <c r="U71" s="29" t="str">
        <f aca="false">IF(B71&lt;&gt;"Y","Out of scope",IF(N71="","Awaiting response",IF(AND(OR(N71="Yes",N71="Partial"),O71=""),"No detail: treat as unanswered",IF(AND(N71="Yes",R71=""),"No evidence link",IF(AND(S71="Gap",T71=""),"Gap needs owner and date in Comments","OK")))))</f>
        <v>Awaiting response</v>
      </c>
    </row>
    <row r="72" customFormat="false" ht="35.05" hidden="false" customHeight="false" outlineLevel="0" collapsed="false">
      <c r="A72" s="30" t="s">
        <v>630</v>
      </c>
      <c r="B72" s="31" t="s">
        <v>176</v>
      </c>
      <c r="C72" s="6" t="s">
        <v>143</v>
      </c>
      <c r="D72" s="6" t="s">
        <v>631</v>
      </c>
      <c r="E72" s="6" t="s">
        <v>632</v>
      </c>
      <c r="F72" s="6" t="s">
        <v>529</v>
      </c>
      <c r="G72" s="6" t="s">
        <v>436</v>
      </c>
      <c r="H72" s="6" t="s">
        <v>400</v>
      </c>
      <c r="I72" s="6" t="s">
        <v>633</v>
      </c>
      <c r="J72" s="6" t="s">
        <v>206</v>
      </c>
      <c r="K72" s="6" t="s">
        <v>133</v>
      </c>
      <c r="L72" s="31" t="s">
        <v>176</v>
      </c>
      <c r="M72" s="32" t="s">
        <v>185</v>
      </c>
      <c r="N72" s="33"/>
      <c r="O72" s="34"/>
      <c r="P72" s="34" t="s">
        <v>634</v>
      </c>
      <c r="Q72" s="6" t="s">
        <v>635</v>
      </c>
      <c r="R72" s="34"/>
      <c r="S72" s="31" t="s">
        <v>117</v>
      </c>
      <c r="T72" s="35"/>
      <c r="U72" s="29" t="str">
        <f aca="false">IF(B72&lt;&gt;"Y","Out of scope",IF(N72="","Awaiting response",IF(AND(OR(N72="Yes",N72="Partial"),O72=""),"No detail: treat as unanswered",IF(AND(N72="Yes",R72=""),"No evidence link",IF(AND(S72="Gap",T72=""),"Gap needs owner and date in Comments","OK")))))</f>
        <v>Awaiting response</v>
      </c>
    </row>
    <row r="73" customFormat="false" ht="23.85" hidden="false" customHeight="false" outlineLevel="0" collapsed="false">
      <c r="A73" s="30" t="s">
        <v>636</v>
      </c>
      <c r="B73" s="31" t="s">
        <v>176</v>
      </c>
      <c r="C73" s="6" t="s">
        <v>143</v>
      </c>
      <c r="D73" s="6" t="s">
        <v>637</v>
      </c>
      <c r="E73" s="6" t="s">
        <v>638</v>
      </c>
      <c r="F73" s="6" t="s">
        <v>180</v>
      </c>
      <c r="G73" s="6" t="s">
        <v>181</v>
      </c>
      <c r="H73" s="6" t="s">
        <v>182</v>
      </c>
      <c r="I73" s="6" t="s">
        <v>633</v>
      </c>
      <c r="J73" s="6" t="s">
        <v>184</v>
      </c>
      <c r="K73" s="6" t="s">
        <v>133</v>
      </c>
      <c r="L73" s="31" t="s">
        <v>176</v>
      </c>
      <c r="M73" s="32" t="s">
        <v>185</v>
      </c>
      <c r="N73" s="33"/>
      <c r="O73" s="34"/>
      <c r="P73" s="34" t="s">
        <v>187</v>
      </c>
      <c r="Q73" s="6" t="s">
        <v>639</v>
      </c>
      <c r="R73" s="34"/>
      <c r="S73" s="31" t="s">
        <v>117</v>
      </c>
      <c r="T73" s="35"/>
      <c r="U73" s="29" t="str">
        <f aca="false">IF(B73&lt;&gt;"Y","Out of scope",IF(N73="","Awaiting response",IF(AND(OR(N73="Yes",N73="Partial"),O73=""),"No detail: treat as unanswered",IF(AND(N73="Yes",R73=""),"No evidence link",IF(AND(S73="Gap",T73=""),"Gap needs owner and date in Comments","OK")))))</f>
        <v>Awaiting response</v>
      </c>
    </row>
    <row r="74" customFormat="false" ht="23.85" hidden="false" customHeight="false" outlineLevel="0" collapsed="false">
      <c r="A74" s="30" t="s">
        <v>640</v>
      </c>
      <c r="B74" s="31" t="s">
        <v>176</v>
      </c>
      <c r="C74" s="6" t="s">
        <v>143</v>
      </c>
      <c r="D74" s="6" t="s">
        <v>641</v>
      </c>
      <c r="E74" s="6" t="s">
        <v>642</v>
      </c>
      <c r="F74" s="6" t="s">
        <v>180</v>
      </c>
      <c r="G74" s="6" t="s">
        <v>436</v>
      </c>
      <c r="H74" s="6" t="s">
        <v>485</v>
      </c>
      <c r="I74" s="6" t="s">
        <v>643</v>
      </c>
      <c r="J74" s="6" t="s">
        <v>644</v>
      </c>
      <c r="K74" s="6" t="s">
        <v>133</v>
      </c>
      <c r="L74" s="31" t="s">
        <v>176</v>
      </c>
      <c r="M74" s="32" t="s">
        <v>185</v>
      </c>
      <c r="N74" s="33"/>
      <c r="O74" s="34"/>
      <c r="P74" s="34" t="s">
        <v>393</v>
      </c>
      <c r="Q74" s="6" t="s">
        <v>645</v>
      </c>
      <c r="R74" s="34"/>
      <c r="S74" s="31" t="s">
        <v>117</v>
      </c>
      <c r="T74" s="35"/>
      <c r="U74" s="29" t="str">
        <f aca="false">IF(B74&lt;&gt;"Y","Out of scope",IF(N74="","Awaiting response",IF(AND(OR(N74="Yes",N74="Partial"),O74=""),"No detail: treat as unanswered",IF(AND(N74="Yes",R74=""),"No evidence link",IF(AND(S74="Gap",T74=""),"Gap needs owner and date in Comments","OK")))))</f>
        <v>Awaiting response</v>
      </c>
    </row>
    <row r="75" customFormat="false" ht="35.05" hidden="false" customHeight="false" outlineLevel="0" collapsed="false">
      <c r="A75" s="30" t="s">
        <v>646</v>
      </c>
      <c r="B75" s="31" t="s">
        <v>176</v>
      </c>
      <c r="C75" s="6" t="s">
        <v>143</v>
      </c>
      <c r="D75" s="6" t="s">
        <v>647</v>
      </c>
      <c r="E75" s="6" t="s">
        <v>648</v>
      </c>
      <c r="F75" s="6" t="s">
        <v>180</v>
      </c>
      <c r="G75" s="6" t="s">
        <v>436</v>
      </c>
      <c r="H75" s="6" t="s">
        <v>182</v>
      </c>
      <c r="I75" s="6" t="s">
        <v>649</v>
      </c>
      <c r="J75" s="6" t="s">
        <v>486</v>
      </c>
      <c r="K75" s="6" t="s">
        <v>133</v>
      </c>
      <c r="L75" s="31" t="s">
        <v>176</v>
      </c>
      <c r="M75" s="32" t="s">
        <v>185</v>
      </c>
      <c r="N75" s="33"/>
      <c r="O75" s="34"/>
      <c r="P75" s="34" t="s">
        <v>187</v>
      </c>
      <c r="Q75" s="6" t="s">
        <v>650</v>
      </c>
      <c r="R75" s="34"/>
      <c r="S75" s="31" t="s">
        <v>117</v>
      </c>
      <c r="T75" s="35"/>
      <c r="U75" s="29" t="str">
        <f aca="false">IF(B75&lt;&gt;"Y","Out of scope",IF(N75="","Awaiting response",IF(AND(OR(N75="Yes",N75="Partial"),O75=""),"No detail: treat as unanswered",IF(AND(N75="Yes",R75=""),"No evidence link",IF(AND(S75="Gap",T75=""),"Gap needs owner and date in Comments","OK")))))</f>
        <v>Awaiting response</v>
      </c>
    </row>
    <row r="76" customFormat="false" ht="35.05" hidden="false" customHeight="false" outlineLevel="0" collapsed="false">
      <c r="A76" s="30" t="s">
        <v>651</v>
      </c>
      <c r="B76" s="31" t="s">
        <v>176</v>
      </c>
      <c r="C76" s="6" t="s">
        <v>143</v>
      </c>
      <c r="D76" s="6" t="s">
        <v>652</v>
      </c>
      <c r="E76" s="6" t="s">
        <v>653</v>
      </c>
      <c r="F76" s="6" t="s">
        <v>180</v>
      </c>
      <c r="G76" s="6" t="s">
        <v>436</v>
      </c>
      <c r="H76" s="6" t="s">
        <v>182</v>
      </c>
      <c r="I76" s="6" t="s">
        <v>649</v>
      </c>
      <c r="J76" s="6" t="s">
        <v>654</v>
      </c>
      <c r="K76" s="6" t="s">
        <v>133</v>
      </c>
      <c r="L76" s="31" t="s">
        <v>176</v>
      </c>
      <c r="M76" s="32" t="s">
        <v>185</v>
      </c>
      <c r="N76" s="33"/>
      <c r="O76" s="34"/>
      <c r="P76" s="34" t="s">
        <v>634</v>
      </c>
      <c r="Q76" s="6" t="s">
        <v>655</v>
      </c>
      <c r="R76" s="34"/>
      <c r="S76" s="31" t="s">
        <v>117</v>
      </c>
      <c r="T76" s="35"/>
      <c r="U76" s="29" t="str">
        <f aca="false">IF(B76&lt;&gt;"Y","Out of scope",IF(N76="","Awaiting response",IF(AND(OR(N76="Yes",N76="Partial"),O76=""),"No detail: treat as unanswered",IF(AND(N76="Yes",R76=""),"No evidence link",IF(AND(S76="Gap",T76=""),"Gap needs owner and date in Comments","OK")))))</f>
        <v>Awaiting response</v>
      </c>
    </row>
    <row r="77" customFormat="false" ht="35.05" hidden="false" customHeight="false" outlineLevel="0" collapsed="false">
      <c r="A77" s="30" t="s">
        <v>656</v>
      </c>
      <c r="B77" s="31" t="s">
        <v>176</v>
      </c>
      <c r="C77" s="6" t="s">
        <v>143</v>
      </c>
      <c r="D77" s="6" t="s">
        <v>657</v>
      </c>
      <c r="E77" s="6" t="s">
        <v>658</v>
      </c>
      <c r="F77" s="6" t="s">
        <v>659</v>
      </c>
      <c r="G77" s="6" t="s">
        <v>542</v>
      </c>
      <c r="H77" s="6" t="s">
        <v>485</v>
      </c>
      <c r="I77" s="6" t="s">
        <v>660</v>
      </c>
      <c r="J77" s="6" t="s">
        <v>518</v>
      </c>
      <c r="K77" s="6" t="s">
        <v>133</v>
      </c>
      <c r="L77" s="31" t="s">
        <v>176</v>
      </c>
      <c r="M77" s="32" t="s">
        <v>185</v>
      </c>
      <c r="N77" s="33"/>
      <c r="O77" s="34"/>
      <c r="P77" s="34" t="s">
        <v>393</v>
      </c>
      <c r="Q77" s="6" t="s">
        <v>661</v>
      </c>
      <c r="R77" s="34"/>
      <c r="S77" s="31" t="s">
        <v>117</v>
      </c>
      <c r="T77" s="35"/>
      <c r="U77" s="29" t="str">
        <f aca="false">IF(B77&lt;&gt;"Y","Out of scope",IF(N77="","Awaiting response",IF(AND(OR(N77="Yes",N77="Partial"),O77=""),"No detail: treat as unanswered",IF(AND(N77="Yes",R77=""),"No evidence link",IF(AND(S77="Gap",T77=""),"Gap needs owner and date in Comments","OK")))))</f>
        <v>Awaiting response</v>
      </c>
    </row>
    <row r="78" customFormat="false" ht="35.05" hidden="false" customHeight="false" outlineLevel="0" collapsed="false">
      <c r="A78" s="30" t="s">
        <v>662</v>
      </c>
      <c r="B78" s="31" t="s">
        <v>176</v>
      </c>
      <c r="C78" s="6" t="s">
        <v>143</v>
      </c>
      <c r="D78" s="6" t="s">
        <v>663</v>
      </c>
      <c r="E78" s="6" t="s">
        <v>664</v>
      </c>
      <c r="F78" s="6" t="s">
        <v>180</v>
      </c>
      <c r="G78" s="6" t="s">
        <v>665</v>
      </c>
      <c r="H78" s="6" t="s">
        <v>666</v>
      </c>
      <c r="I78" s="6" t="s">
        <v>667</v>
      </c>
      <c r="J78" s="6" t="s">
        <v>668</v>
      </c>
      <c r="K78" s="6" t="s">
        <v>133</v>
      </c>
      <c r="L78" s="31" t="s">
        <v>176</v>
      </c>
      <c r="M78" s="32" t="s">
        <v>185</v>
      </c>
      <c r="N78" s="33"/>
      <c r="O78" s="34"/>
      <c r="P78" s="34" t="s">
        <v>187</v>
      </c>
      <c r="Q78" s="6" t="s">
        <v>669</v>
      </c>
      <c r="R78" s="34"/>
      <c r="S78" s="31" t="s">
        <v>117</v>
      </c>
      <c r="T78" s="35"/>
      <c r="U78" s="29" t="str">
        <f aca="false">IF(B78&lt;&gt;"Y","Out of scope",IF(N78="","Awaiting response",IF(AND(OR(N78="Yes",N78="Partial"),O78=""),"No detail: treat as unanswered",IF(AND(N78="Yes",R78=""),"No evidence link",IF(AND(S78="Gap",T78=""),"Gap needs owner and date in Comments","OK")))))</f>
        <v>Awaiting response</v>
      </c>
    </row>
    <row r="79" customFormat="false" ht="23.85" hidden="false" customHeight="false" outlineLevel="0" collapsed="false">
      <c r="A79" s="30" t="s">
        <v>670</v>
      </c>
      <c r="B79" s="31" t="s">
        <v>176</v>
      </c>
      <c r="C79" s="6" t="s">
        <v>143</v>
      </c>
      <c r="D79" s="6" t="s">
        <v>671</v>
      </c>
      <c r="E79" s="6" t="s">
        <v>672</v>
      </c>
      <c r="F79" s="6" t="s">
        <v>180</v>
      </c>
      <c r="G79" s="6" t="s">
        <v>673</v>
      </c>
      <c r="H79" s="6" t="s">
        <v>674</v>
      </c>
      <c r="I79" s="6" t="s">
        <v>322</v>
      </c>
      <c r="J79" s="6" t="s">
        <v>457</v>
      </c>
      <c r="K79" s="6" t="s">
        <v>132</v>
      </c>
      <c r="L79" s="31" t="s">
        <v>236</v>
      </c>
      <c r="M79" s="32" t="s">
        <v>185</v>
      </c>
      <c r="N79" s="33"/>
      <c r="O79" s="34"/>
      <c r="P79" s="34" t="s">
        <v>257</v>
      </c>
      <c r="Q79" s="6" t="s">
        <v>675</v>
      </c>
      <c r="R79" s="34"/>
      <c r="S79" s="31" t="s">
        <v>117</v>
      </c>
      <c r="T79" s="35"/>
      <c r="U79" s="29" t="str">
        <f aca="false">IF(B79&lt;&gt;"Y","Out of scope",IF(N79="","Awaiting response",IF(AND(OR(N79="Yes",N79="Partial"),O79=""),"No detail: treat as unanswered",IF(AND(N79="Yes",R79=""),"No evidence link",IF(AND(S79="Gap",T79=""),"Gap needs owner and date in Comments","OK")))))</f>
        <v>Awaiting response</v>
      </c>
    </row>
    <row r="80" customFormat="false" ht="23.85" hidden="false" customHeight="false" outlineLevel="0" collapsed="false">
      <c r="A80" s="30" t="s">
        <v>676</v>
      </c>
      <c r="B80" s="31" t="s">
        <v>176</v>
      </c>
      <c r="C80" s="6" t="s">
        <v>143</v>
      </c>
      <c r="D80" s="6" t="s">
        <v>677</v>
      </c>
      <c r="E80" s="6" t="s">
        <v>678</v>
      </c>
      <c r="F80" s="6" t="s">
        <v>679</v>
      </c>
      <c r="G80" s="6" t="s">
        <v>680</v>
      </c>
      <c r="H80" s="6" t="s">
        <v>681</v>
      </c>
      <c r="I80" s="6" t="s">
        <v>322</v>
      </c>
      <c r="J80" s="6" t="s">
        <v>682</v>
      </c>
      <c r="K80" s="6" t="s">
        <v>132</v>
      </c>
      <c r="L80" s="31" t="s">
        <v>236</v>
      </c>
      <c r="M80" s="32" t="s">
        <v>185</v>
      </c>
      <c r="N80" s="33"/>
      <c r="O80" s="34"/>
      <c r="P80" s="34" t="s">
        <v>187</v>
      </c>
      <c r="Q80" s="6" t="s">
        <v>683</v>
      </c>
      <c r="R80" s="34"/>
      <c r="S80" s="31" t="s">
        <v>117</v>
      </c>
      <c r="T80" s="35"/>
      <c r="U80" s="29" t="str">
        <f aca="false">IF(B80&lt;&gt;"Y","Out of scope",IF(N80="","Awaiting response",IF(AND(OR(N80="Yes",N80="Partial"),O80=""),"No detail: treat as unanswered",IF(AND(N80="Yes",R80=""),"No evidence link",IF(AND(S80="Gap",T80=""),"Gap needs owner and date in Comments","OK")))))</f>
        <v>Awaiting response</v>
      </c>
    </row>
    <row r="81" customFormat="false" ht="23.85" hidden="false" customHeight="false" outlineLevel="0" collapsed="false">
      <c r="A81" s="30" t="s">
        <v>684</v>
      </c>
      <c r="B81" s="31" t="s">
        <v>176</v>
      </c>
      <c r="C81" s="6" t="s">
        <v>143</v>
      </c>
      <c r="D81" s="6" t="s">
        <v>685</v>
      </c>
      <c r="E81" s="6" t="s">
        <v>686</v>
      </c>
      <c r="F81" s="6" t="s">
        <v>398</v>
      </c>
      <c r="G81" s="6" t="s">
        <v>436</v>
      </c>
      <c r="H81" s="6" t="s">
        <v>400</v>
      </c>
      <c r="I81" s="6" t="s">
        <v>687</v>
      </c>
      <c r="J81" s="6" t="s">
        <v>644</v>
      </c>
      <c r="K81" s="6" t="s">
        <v>134</v>
      </c>
      <c r="L81" s="31" t="s">
        <v>176</v>
      </c>
      <c r="M81" s="32" t="s">
        <v>185</v>
      </c>
      <c r="N81" s="33"/>
      <c r="O81" s="34"/>
      <c r="P81" s="34" t="s">
        <v>393</v>
      </c>
      <c r="Q81" s="6" t="s">
        <v>688</v>
      </c>
      <c r="R81" s="34"/>
      <c r="S81" s="31" t="s">
        <v>117</v>
      </c>
      <c r="T81" s="35"/>
      <c r="U81" s="29" t="str">
        <f aca="false">IF(B81&lt;&gt;"Y","Out of scope",IF(N81="","Awaiting response",IF(AND(OR(N81="Yes",N81="Partial"),O81=""),"No detail: treat as unanswered",IF(AND(N81="Yes",R81=""),"No evidence link",IF(AND(S81="Gap",T81=""),"Gap needs owner and date in Comments","OK")))))</f>
        <v>Awaiting response</v>
      </c>
    </row>
    <row r="82" customFormat="false" ht="35.05" hidden="false" customHeight="false" outlineLevel="0" collapsed="false">
      <c r="A82" s="30" t="s">
        <v>689</v>
      </c>
      <c r="B82" s="31" t="s">
        <v>176</v>
      </c>
      <c r="C82" s="6" t="s">
        <v>143</v>
      </c>
      <c r="D82" s="6" t="s">
        <v>690</v>
      </c>
      <c r="E82" s="6" t="s">
        <v>691</v>
      </c>
      <c r="F82" s="6" t="s">
        <v>692</v>
      </c>
      <c r="G82" s="6" t="s">
        <v>693</v>
      </c>
      <c r="H82" s="6" t="s">
        <v>400</v>
      </c>
      <c r="I82" s="6" t="s">
        <v>687</v>
      </c>
      <c r="J82" s="6" t="s">
        <v>644</v>
      </c>
      <c r="K82" s="6" t="s">
        <v>135</v>
      </c>
      <c r="L82" s="31" t="s">
        <v>176</v>
      </c>
      <c r="M82" s="32" t="s">
        <v>185</v>
      </c>
      <c r="N82" s="33"/>
      <c r="O82" s="34"/>
      <c r="P82" s="34" t="s">
        <v>393</v>
      </c>
      <c r="Q82" s="6" t="s">
        <v>694</v>
      </c>
      <c r="R82" s="34"/>
      <c r="S82" s="31" t="s">
        <v>117</v>
      </c>
      <c r="T82" s="35"/>
      <c r="U82" s="29" t="str">
        <f aca="false">IF(B82&lt;&gt;"Y","Out of scope",IF(N82="","Awaiting response",IF(AND(OR(N82="Yes",N82="Partial"),O82=""),"No detail: treat as unanswered",IF(AND(N82="Yes",R82=""),"No evidence link",IF(AND(S82="Gap",T82=""),"Gap needs owner and date in Comments","OK")))))</f>
        <v>Awaiting response</v>
      </c>
    </row>
    <row r="83" customFormat="false" ht="35.05" hidden="false" customHeight="false" outlineLevel="0" collapsed="false">
      <c r="A83" s="30" t="s">
        <v>695</v>
      </c>
      <c r="B83" s="31" t="s">
        <v>176</v>
      </c>
      <c r="C83" s="6" t="s">
        <v>143</v>
      </c>
      <c r="D83" s="6" t="s">
        <v>696</v>
      </c>
      <c r="E83" s="6" t="s">
        <v>697</v>
      </c>
      <c r="F83" s="6" t="s">
        <v>384</v>
      </c>
      <c r="G83" s="6" t="s">
        <v>436</v>
      </c>
      <c r="H83" s="6" t="s">
        <v>400</v>
      </c>
      <c r="I83" s="6" t="s">
        <v>698</v>
      </c>
      <c r="J83" s="6" t="s">
        <v>370</v>
      </c>
      <c r="K83" s="6" t="s">
        <v>134</v>
      </c>
      <c r="L83" s="31" t="s">
        <v>236</v>
      </c>
      <c r="M83" s="32" t="s">
        <v>185</v>
      </c>
      <c r="N83" s="33"/>
      <c r="O83" s="34"/>
      <c r="P83" s="34" t="s">
        <v>393</v>
      </c>
      <c r="Q83" s="6" t="s">
        <v>699</v>
      </c>
      <c r="R83" s="34"/>
      <c r="S83" s="31" t="s">
        <v>117</v>
      </c>
      <c r="T83" s="35"/>
      <c r="U83" s="29" t="str">
        <f aca="false">IF(B83&lt;&gt;"Y","Out of scope",IF(N83="","Awaiting response",IF(AND(OR(N83="Yes",N83="Partial"),O83=""),"No detail: treat as unanswered",IF(AND(N83="Yes",R83=""),"No evidence link",IF(AND(S83="Gap",T83=""),"Gap needs owner and date in Comments","OK")))))</f>
        <v>Awaiting response</v>
      </c>
    </row>
    <row r="84" customFormat="false" ht="46.25" hidden="false" customHeight="false" outlineLevel="0" collapsed="false">
      <c r="A84" s="30" t="s">
        <v>700</v>
      </c>
      <c r="B84" s="31" t="s">
        <v>176</v>
      </c>
      <c r="C84" s="6" t="s">
        <v>143</v>
      </c>
      <c r="D84" s="6" t="s">
        <v>701</v>
      </c>
      <c r="E84" s="6" t="s">
        <v>702</v>
      </c>
      <c r="F84" s="6" t="s">
        <v>398</v>
      </c>
      <c r="G84" s="6" t="s">
        <v>436</v>
      </c>
      <c r="H84" s="6" t="s">
        <v>400</v>
      </c>
      <c r="I84" s="6" t="s">
        <v>703</v>
      </c>
      <c r="J84" s="6" t="s">
        <v>644</v>
      </c>
      <c r="K84" s="6" t="s">
        <v>134</v>
      </c>
      <c r="L84" s="31" t="s">
        <v>176</v>
      </c>
      <c r="M84" s="32" t="s">
        <v>185</v>
      </c>
      <c r="N84" s="33"/>
      <c r="O84" s="34"/>
      <c r="P84" s="34" t="s">
        <v>393</v>
      </c>
      <c r="Q84" s="6" t="s">
        <v>704</v>
      </c>
      <c r="R84" s="34"/>
      <c r="S84" s="31" t="s">
        <v>117</v>
      </c>
      <c r="T84" s="35"/>
      <c r="U84" s="29" t="str">
        <f aca="false">IF(B84&lt;&gt;"Y","Out of scope",IF(N84="","Awaiting response",IF(AND(OR(N84="Yes",N84="Partial"),O84=""),"No detail: treat as unanswered",IF(AND(N84="Yes",R84=""),"No evidence link",IF(AND(S84="Gap",T84=""),"Gap needs owner and date in Comments","OK")))))</f>
        <v>Awaiting response</v>
      </c>
    </row>
    <row r="85" customFormat="false" ht="23.85" hidden="false" customHeight="false" outlineLevel="0" collapsed="false">
      <c r="A85" s="30" t="s">
        <v>705</v>
      </c>
      <c r="B85" s="31" t="s">
        <v>176</v>
      </c>
      <c r="C85" s="6" t="s">
        <v>144</v>
      </c>
      <c r="D85" s="6" t="s">
        <v>706</v>
      </c>
      <c r="E85" s="6" t="s">
        <v>707</v>
      </c>
      <c r="F85" s="6" t="s">
        <v>211</v>
      </c>
      <c r="G85" s="6" t="s">
        <v>708</v>
      </c>
      <c r="H85" s="6" t="s">
        <v>709</v>
      </c>
      <c r="I85" s="6" t="s">
        <v>710</v>
      </c>
      <c r="J85" s="6" t="s">
        <v>711</v>
      </c>
      <c r="K85" s="6" t="s">
        <v>131</v>
      </c>
      <c r="L85" s="31" t="s">
        <v>176</v>
      </c>
      <c r="M85" s="32" t="s">
        <v>185</v>
      </c>
      <c r="N85" s="33"/>
      <c r="O85" s="34"/>
      <c r="P85" s="34" t="s">
        <v>214</v>
      </c>
      <c r="Q85" s="6" t="s">
        <v>712</v>
      </c>
      <c r="R85" s="34"/>
      <c r="S85" s="31" t="s">
        <v>117</v>
      </c>
      <c r="T85" s="35"/>
      <c r="U85" s="29" t="str">
        <f aca="false">IF(B85&lt;&gt;"Y","Out of scope",IF(N85="","Awaiting response",IF(AND(OR(N85="Yes",N85="Partial"),O85=""),"No detail: treat as unanswered",IF(AND(N85="Yes",R85=""),"No evidence link",IF(AND(S85="Gap",T85=""),"Gap needs owner and date in Comments","OK")))))</f>
        <v>Awaiting response</v>
      </c>
    </row>
    <row r="86" customFormat="false" ht="23.85" hidden="false" customHeight="false" outlineLevel="0" collapsed="false">
      <c r="A86" s="30" t="s">
        <v>713</v>
      </c>
      <c r="B86" s="31" t="s">
        <v>176</v>
      </c>
      <c r="C86" s="6" t="s">
        <v>144</v>
      </c>
      <c r="D86" s="6" t="s">
        <v>714</v>
      </c>
      <c r="E86" s="6" t="s">
        <v>715</v>
      </c>
      <c r="F86" s="6" t="s">
        <v>211</v>
      </c>
      <c r="G86" s="6" t="s">
        <v>716</v>
      </c>
      <c r="H86" s="6" t="s">
        <v>400</v>
      </c>
      <c r="I86" s="6" t="s">
        <v>710</v>
      </c>
      <c r="J86" s="6" t="s">
        <v>601</v>
      </c>
      <c r="K86" s="6" t="s">
        <v>133</v>
      </c>
      <c r="L86" s="31" t="s">
        <v>176</v>
      </c>
      <c r="M86" s="32" t="s">
        <v>185</v>
      </c>
      <c r="N86" s="33"/>
      <c r="O86" s="34"/>
      <c r="P86" s="34" t="s">
        <v>393</v>
      </c>
      <c r="Q86" s="6" t="s">
        <v>717</v>
      </c>
      <c r="R86" s="34"/>
      <c r="S86" s="31" t="s">
        <v>117</v>
      </c>
      <c r="T86" s="35"/>
      <c r="U86" s="29" t="str">
        <f aca="false">IF(B86&lt;&gt;"Y","Out of scope",IF(N86="","Awaiting response",IF(AND(OR(N86="Yes",N86="Partial"),O86=""),"No detail: treat as unanswered",IF(AND(N86="Yes",R86=""),"No evidence link",IF(AND(S86="Gap",T86=""),"Gap needs owner and date in Comments","OK")))))</f>
        <v>Awaiting response</v>
      </c>
    </row>
    <row r="87" customFormat="false" ht="35.05" hidden="false" customHeight="false" outlineLevel="0" collapsed="false">
      <c r="A87" s="30" t="s">
        <v>718</v>
      </c>
      <c r="B87" s="31" t="s">
        <v>176</v>
      </c>
      <c r="C87" s="6" t="s">
        <v>144</v>
      </c>
      <c r="D87" s="6" t="s">
        <v>719</v>
      </c>
      <c r="E87" s="6" t="s">
        <v>720</v>
      </c>
      <c r="F87" s="6" t="s">
        <v>721</v>
      </c>
      <c r="G87" s="6" t="s">
        <v>722</v>
      </c>
      <c r="H87" s="6" t="s">
        <v>723</v>
      </c>
      <c r="I87" s="6" t="s">
        <v>710</v>
      </c>
      <c r="J87" s="6" t="s">
        <v>724</v>
      </c>
      <c r="K87" s="6" t="s">
        <v>132</v>
      </c>
      <c r="L87" s="31" t="s">
        <v>176</v>
      </c>
      <c r="M87" s="32" t="s">
        <v>185</v>
      </c>
      <c r="N87" s="33"/>
      <c r="O87" s="34"/>
      <c r="P87" s="34" t="s">
        <v>257</v>
      </c>
      <c r="Q87" s="6" t="s">
        <v>725</v>
      </c>
      <c r="R87" s="34"/>
      <c r="S87" s="31" t="s">
        <v>117</v>
      </c>
      <c r="T87" s="35"/>
      <c r="U87" s="29" t="str">
        <f aca="false">IF(B87&lt;&gt;"Y","Out of scope",IF(N87="","Awaiting response",IF(AND(OR(N87="Yes",N87="Partial"),O87=""),"No detail: treat as unanswered",IF(AND(N87="Yes",R87=""),"No evidence link",IF(AND(S87="Gap",T87=""),"Gap needs owner and date in Comments","OK")))))</f>
        <v>Awaiting response</v>
      </c>
    </row>
    <row r="88" customFormat="false" ht="35.05" hidden="false" customHeight="false" outlineLevel="0" collapsed="false">
      <c r="A88" s="30" t="s">
        <v>726</v>
      </c>
      <c r="B88" s="31" t="s">
        <v>176</v>
      </c>
      <c r="C88" s="6" t="s">
        <v>144</v>
      </c>
      <c r="D88" s="6" t="s">
        <v>727</v>
      </c>
      <c r="E88" s="6" t="s">
        <v>728</v>
      </c>
      <c r="F88" s="6" t="s">
        <v>729</v>
      </c>
      <c r="G88" s="6" t="s">
        <v>730</v>
      </c>
      <c r="H88" s="6" t="s">
        <v>731</v>
      </c>
      <c r="I88" s="6" t="s">
        <v>710</v>
      </c>
      <c r="J88" s="6" t="s">
        <v>732</v>
      </c>
      <c r="K88" s="6" t="s">
        <v>132</v>
      </c>
      <c r="L88" s="31" t="s">
        <v>176</v>
      </c>
      <c r="M88" s="32" t="s">
        <v>185</v>
      </c>
      <c r="N88" s="33"/>
      <c r="O88" s="34"/>
      <c r="P88" s="34" t="s">
        <v>257</v>
      </c>
      <c r="Q88" s="6" t="s">
        <v>733</v>
      </c>
      <c r="R88" s="34"/>
      <c r="S88" s="31" t="s">
        <v>117</v>
      </c>
      <c r="T88" s="35"/>
      <c r="U88" s="29" t="str">
        <f aca="false">IF(B88&lt;&gt;"Y","Out of scope",IF(N88="","Awaiting response",IF(AND(OR(N88="Yes",N88="Partial"),O88=""),"No detail: treat as unanswered",IF(AND(N88="Yes",R88=""),"No evidence link",IF(AND(S88="Gap",T88=""),"Gap needs owner and date in Comments","OK")))))</f>
        <v>Awaiting response</v>
      </c>
    </row>
    <row r="89" customFormat="false" ht="35.05" hidden="false" customHeight="false" outlineLevel="0" collapsed="false">
      <c r="A89" s="30" t="s">
        <v>734</v>
      </c>
      <c r="B89" s="31" t="s">
        <v>176</v>
      </c>
      <c r="C89" s="6" t="s">
        <v>144</v>
      </c>
      <c r="D89" s="6" t="s">
        <v>735</v>
      </c>
      <c r="E89" s="6" t="s">
        <v>736</v>
      </c>
      <c r="F89" s="6" t="s">
        <v>211</v>
      </c>
      <c r="G89" s="6" t="s">
        <v>436</v>
      </c>
      <c r="H89" s="6" t="s">
        <v>425</v>
      </c>
      <c r="I89" s="6" t="s">
        <v>710</v>
      </c>
      <c r="J89" s="6" t="s">
        <v>737</v>
      </c>
      <c r="K89" s="6" t="s">
        <v>133</v>
      </c>
      <c r="L89" s="31" t="s">
        <v>176</v>
      </c>
      <c r="M89" s="32" t="s">
        <v>185</v>
      </c>
      <c r="N89" s="33"/>
      <c r="O89" s="34"/>
      <c r="P89" s="34" t="s">
        <v>393</v>
      </c>
      <c r="Q89" s="6" t="s">
        <v>738</v>
      </c>
      <c r="R89" s="34"/>
      <c r="S89" s="31" t="s">
        <v>117</v>
      </c>
      <c r="T89" s="35"/>
      <c r="U89" s="29" t="str">
        <f aca="false">IF(B89&lt;&gt;"Y","Out of scope",IF(N89="","Awaiting response",IF(AND(OR(N89="Yes",N89="Partial"),O89=""),"No detail: treat as unanswered",IF(AND(N89="Yes",R89=""),"No evidence link",IF(AND(S89="Gap",T89=""),"Gap needs owner and date in Comments","OK")))))</f>
        <v>Awaiting response</v>
      </c>
    </row>
    <row r="90" customFormat="false" ht="35.05" hidden="false" customHeight="false" outlineLevel="0" collapsed="false">
      <c r="A90" s="30" t="s">
        <v>739</v>
      </c>
      <c r="B90" s="31" t="s">
        <v>176</v>
      </c>
      <c r="C90" s="6" t="s">
        <v>144</v>
      </c>
      <c r="D90" s="6" t="s">
        <v>740</v>
      </c>
      <c r="E90" s="6" t="s">
        <v>741</v>
      </c>
      <c r="F90" s="6" t="s">
        <v>211</v>
      </c>
      <c r="G90" s="6" t="s">
        <v>742</v>
      </c>
      <c r="H90" s="6" t="s">
        <v>723</v>
      </c>
      <c r="I90" s="6" t="s">
        <v>710</v>
      </c>
      <c r="J90" s="6" t="s">
        <v>743</v>
      </c>
      <c r="K90" s="6" t="s">
        <v>133</v>
      </c>
      <c r="L90" s="31" t="s">
        <v>176</v>
      </c>
      <c r="M90" s="32" t="s">
        <v>185</v>
      </c>
      <c r="N90" s="33"/>
      <c r="O90" s="34"/>
      <c r="P90" s="34" t="s">
        <v>393</v>
      </c>
      <c r="Q90" s="6" t="s">
        <v>744</v>
      </c>
      <c r="R90" s="34"/>
      <c r="S90" s="31" t="s">
        <v>117</v>
      </c>
      <c r="T90" s="35"/>
      <c r="U90" s="29" t="str">
        <f aca="false">IF(B90&lt;&gt;"Y","Out of scope",IF(N90="","Awaiting response",IF(AND(OR(N90="Yes",N90="Partial"),O90=""),"No detail: treat as unanswered",IF(AND(N90="Yes",R90=""),"No evidence link",IF(AND(S90="Gap",T90=""),"Gap needs owner and date in Comments","OK")))))</f>
        <v>Awaiting response</v>
      </c>
    </row>
    <row r="91" customFormat="false" ht="35.05" hidden="false" customHeight="false" outlineLevel="0" collapsed="false">
      <c r="A91" s="30" t="s">
        <v>745</v>
      </c>
      <c r="B91" s="31" t="s">
        <v>176</v>
      </c>
      <c r="C91" s="6" t="s">
        <v>144</v>
      </c>
      <c r="D91" s="6" t="s">
        <v>746</v>
      </c>
      <c r="E91" s="6" t="s">
        <v>747</v>
      </c>
      <c r="F91" s="6" t="s">
        <v>447</v>
      </c>
      <c r="G91" s="6" t="s">
        <v>448</v>
      </c>
      <c r="H91" s="6" t="s">
        <v>182</v>
      </c>
      <c r="I91" s="6" t="s">
        <v>748</v>
      </c>
      <c r="J91" s="6" t="s">
        <v>370</v>
      </c>
      <c r="K91" s="6" t="s">
        <v>133</v>
      </c>
      <c r="L91" s="31" t="s">
        <v>176</v>
      </c>
      <c r="M91" s="32" t="s">
        <v>185</v>
      </c>
      <c r="N91" s="33"/>
      <c r="O91" s="34"/>
      <c r="P91" s="34" t="s">
        <v>257</v>
      </c>
      <c r="Q91" s="6" t="s">
        <v>749</v>
      </c>
      <c r="R91" s="34"/>
      <c r="S91" s="31" t="s">
        <v>117</v>
      </c>
      <c r="T91" s="35"/>
      <c r="U91" s="29" t="str">
        <f aca="false">IF(B91&lt;&gt;"Y","Out of scope",IF(N91="","Awaiting response",IF(AND(OR(N91="Yes",N91="Partial"),O91=""),"No detail: treat as unanswered",IF(AND(N91="Yes",R91=""),"No evidence link",IF(AND(S91="Gap",T91=""),"Gap needs owner and date in Comments","OK")))))</f>
        <v>Awaiting response</v>
      </c>
    </row>
    <row r="92" customFormat="false" ht="23.85" hidden="false" customHeight="false" outlineLevel="0" collapsed="false">
      <c r="A92" s="30" t="s">
        <v>750</v>
      </c>
      <c r="B92" s="31" t="s">
        <v>176</v>
      </c>
      <c r="C92" s="6" t="s">
        <v>144</v>
      </c>
      <c r="D92" s="6" t="s">
        <v>751</v>
      </c>
      <c r="E92" s="6" t="s">
        <v>752</v>
      </c>
      <c r="F92" s="6" t="s">
        <v>384</v>
      </c>
      <c r="G92" s="6" t="s">
        <v>436</v>
      </c>
      <c r="H92" s="6" t="s">
        <v>400</v>
      </c>
      <c r="I92" s="6" t="s">
        <v>698</v>
      </c>
      <c r="J92" s="6" t="s">
        <v>370</v>
      </c>
      <c r="K92" s="6" t="s">
        <v>134</v>
      </c>
      <c r="L92" s="31" t="s">
        <v>176</v>
      </c>
      <c r="M92" s="32" t="s">
        <v>185</v>
      </c>
      <c r="N92" s="33"/>
      <c r="O92" s="34"/>
      <c r="P92" s="34" t="s">
        <v>187</v>
      </c>
      <c r="Q92" s="6" t="s">
        <v>753</v>
      </c>
      <c r="R92" s="34"/>
      <c r="S92" s="31" t="s">
        <v>117</v>
      </c>
      <c r="T92" s="35"/>
      <c r="U92" s="29" t="str">
        <f aca="false">IF(B92&lt;&gt;"Y","Out of scope",IF(N92="","Awaiting response",IF(AND(OR(N92="Yes",N92="Partial"),O92=""),"No detail: treat as unanswered",IF(AND(N92="Yes",R92=""),"No evidence link",IF(AND(S92="Gap",T92=""),"Gap needs owner and date in Comments","OK")))))</f>
        <v>Awaiting response</v>
      </c>
    </row>
    <row r="93" customFormat="false" ht="35.05" hidden="false" customHeight="false" outlineLevel="0" collapsed="false">
      <c r="A93" s="30" t="s">
        <v>754</v>
      </c>
      <c r="B93" s="31" t="s">
        <v>176</v>
      </c>
      <c r="C93" s="6" t="s">
        <v>144</v>
      </c>
      <c r="D93" s="6" t="s">
        <v>755</v>
      </c>
      <c r="E93" s="6" t="s">
        <v>756</v>
      </c>
      <c r="F93" s="6" t="s">
        <v>211</v>
      </c>
      <c r="G93" s="6" t="s">
        <v>757</v>
      </c>
      <c r="H93" s="6" t="s">
        <v>182</v>
      </c>
      <c r="I93" s="6" t="s">
        <v>758</v>
      </c>
      <c r="J93" s="6" t="s">
        <v>668</v>
      </c>
      <c r="K93" s="6" t="s">
        <v>133</v>
      </c>
      <c r="L93" s="31" t="s">
        <v>236</v>
      </c>
      <c r="M93" s="32" t="s">
        <v>185</v>
      </c>
      <c r="N93" s="33"/>
      <c r="O93" s="34"/>
      <c r="P93" s="34" t="s">
        <v>257</v>
      </c>
      <c r="Q93" s="6" t="s">
        <v>759</v>
      </c>
      <c r="R93" s="34"/>
      <c r="S93" s="31" t="s">
        <v>117</v>
      </c>
      <c r="T93" s="35"/>
      <c r="U93" s="29" t="str">
        <f aca="false">IF(B93&lt;&gt;"Y","Out of scope",IF(N93="","Awaiting response",IF(AND(OR(N93="Yes",N93="Partial"),O93=""),"No detail: treat as unanswered",IF(AND(N93="Yes",R93=""),"No evidence link",IF(AND(S93="Gap",T93=""),"Gap needs owner and date in Comments","OK")))))</f>
        <v>Awaiting response</v>
      </c>
    </row>
    <row r="94" customFormat="false" ht="35.05" hidden="false" customHeight="false" outlineLevel="0" collapsed="false">
      <c r="A94" s="30" t="s">
        <v>760</v>
      </c>
      <c r="B94" s="31" t="s">
        <v>176</v>
      </c>
      <c r="C94" s="6" t="s">
        <v>144</v>
      </c>
      <c r="D94" s="6" t="s">
        <v>761</v>
      </c>
      <c r="E94" s="6" t="s">
        <v>762</v>
      </c>
      <c r="F94" s="6" t="s">
        <v>398</v>
      </c>
      <c r="G94" s="6" t="s">
        <v>436</v>
      </c>
      <c r="H94" s="6" t="s">
        <v>400</v>
      </c>
      <c r="I94" s="6" t="s">
        <v>687</v>
      </c>
      <c r="J94" s="6" t="s">
        <v>644</v>
      </c>
      <c r="K94" s="6" t="s">
        <v>133</v>
      </c>
      <c r="L94" s="31" t="s">
        <v>176</v>
      </c>
      <c r="M94" s="32" t="s">
        <v>185</v>
      </c>
      <c r="N94" s="33"/>
      <c r="O94" s="34"/>
      <c r="P94" s="34" t="s">
        <v>393</v>
      </c>
      <c r="Q94" s="6" t="s">
        <v>763</v>
      </c>
      <c r="R94" s="34"/>
      <c r="S94" s="31" t="s">
        <v>117</v>
      </c>
      <c r="T94" s="35"/>
      <c r="U94" s="29" t="str">
        <f aca="false">IF(B94&lt;&gt;"Y","Out of scope",IF(N94="","Awaiting response",IF(AND(OR(N94="Yes",N94="Partial"),O94=""),"No detail: treat as unanswered",IF(AND(N94="Yes",R94=""),"No evidence link",IF(AND(S94="Gap",T94=""),"Gap needs owner and date in Comments","OK")))))</f>
        <v>Awaiting response</v>
      </c>
    </row>
    <row r="95" customFormat="false" ht="35.05" hidden="false" customHeight="false" outlineLevel="0" collapsed="false">
      <c r="A95" s="30" t="s">
        <v>764</v>
      </c>
      <c r="B95" s="31" t="s">
        <v>176</v>
      </c>
      <c r="C95" s="6" t="s">
        <v>144</v>
      </c>
      <c r="D95" s="6" t="s">
        <v>765</v>
      </c>
      <c r="E95" s="6" t="s">
        <v>766</v>
      </c>
      <c r="F95" s="6" t="s">
        <v>211</v>
      </c>
      <c r="G95" s="6" t="s">
        <v>436</v>
      </c>
      <c r="H95" s="6" t="s">
        <v>182</v>
      </c>
      <c r="I95" s="6" t="s">
        <v>183</v>
      </c>
      <c r="J95" s="6" t="s">
        <v>767</v>
      </c>
      <c r="K95" s="6" t="s">
        <v>133</v>
      </c>
      <c r="L95" s="31" t="s">
        <v>236</v>
      </c>
      <c r="M95" s="32" t="s">
        <v>185</v>
      </c>
      <c r="N95" s="33"/>
      <c r="O95" s="34"/>
      <c r="P95" s="34" t="s">
        <v>492</v>
      </c>
      <c r="Q95" s="6" t="s">
        <v>768</v>
      </c>
      <c r="R95" s="34"/>
      <c r="S95" s="31" t="s">
        <v>117</v>
      </c>
      <c r="T95" s="35"/>
      <c r="U95" s="29" t="str">
        <f aca="false">IF(B95&lt;&gt;"Y","Out of scope",IF(N95="","Awaiting response",IF(AND(OR(N95="Yes",N95="Partial"),O95=""),"No detail: treat as unanswered",IF(AND(N95="Yes",R95=""),"No evidence link",IF(AND(S95="Gap",T95=""),"Gap needs owner and date in Comments","OK")))))</f>
        <v>Awaiting response</v>
      </c>
    </row>
    <row r="96" customFormat="false" ht="35.05" hidden="false" customHeight="false" outlineLevel="0" collapsed="false">
      <c r="A96" s="30" t="s">
        <v>769</v>
      </c>
      <c r="B96" s="31" t="s">
        <v>176</v>
      </c>
      <c r="C96" s="6" t="s">
        <v>144</v>
      </c>
      <c r="D96" s="6" t="s">
        <v>770</v>
      </c>
      <c r="E96" s="6" t="s">
        <v>771</v>
      </c>
      <c r="F96" s="6" t="s">
        <v>692</v>
      </c>
      <c r="G96" s="6" t="s">
        <v>693</v>
      </c>
      <c r="H96" s="6" t="s">
        <v>182</v>
      </c>
      <c r="I96" s="6" t="s">
        <v>197</v>
      </c>
      <c r="J96" s="6" t="s">
        <v>772</v>
      </c>
      <c r="K96" s="6" t="s">
        <v>135</v>
      </c>
      <c r="L96" s="31" t="s">
        <v>236</v>
      </c>
      <c r="M96" s="32" t="s">
        <v>185</v>
      </c>
      <c r="N96" s="33"/>
      <c r="O96" s="34"/>
      <c r="P96" s="34" t="s">
        <v>393</v>
      </c>
      <c r="Q96" s="6" t="s">
        <v>773</v>
      </c>
      <c r="R96" s="34"/>
      <c r="S96" s="31" t="s">
        <v>117</v>
      </c>
      <c r="T96" s="35"/>
      <c r="U96" s="29" t="str">
        <f aca="false">IF(B96&lt;&gt;"Y","Out of scope",IF(N96="","Awaiting response",IF(AND(OR(N96="Yes",N96="Partial"),O96=""),"No detail: treat as unanswered",IF(AND(N96="Yes",R96=""),"No evidence link",IF(AND(S96="Gap",T96=""),"Gap needs owner and date in Comments","OK")))))</f>
        <v>Awaiting response</v>
      </c>
    </row>
    <row r="97" customFormat="false" ht="35.05" hidden="false" customHeight="false" outlineLevel="0" collapsed="false">
      <c r="A97" s="30" t="s">
        <v>774</v>
      </c>
      <c r="B97" s="31" t="s">
        <v>176</v>
      </c>
      <c r="C97" s="6" t="s">
        <v>144</v>
      </c>
      <c r="D97" s="6" t="s">
        <v>775</v>
      </c>
      <c r="E97" s="6" t="s">
        <v>776</v>
      </c>
      <c r="F97" s="6" t="s">
        <v>398</v>
      </c>
      <c r="G97" s="6" t="s">
        <v>436</v>
      </c>
      <c r="H97" s="6" t="s">
        <v>182</v>
      </c>
      <c r="I97" s="6" t="s">
        <v>649</v>
      </c>
      <c r="J97" s="6" t="s">
        <v>486</v>
      </c>
      <c r="K97" s="6" t="s">
        <v>134</v>
      </c>
      <c r="L97" s="31" t="s">
        <v>176</v>
      </c>
      <c r="M97" s="32" t="s">
        <v>185</v>
      </c>
      <c r="N97" s="33"/>
      <c r="O97" s="34"/>
      <c r="P97" s="34" t="s">
        <v>492</v>
      </c>
      <c r="Q97" s="6" t="s">
        <v>777</v>
      </c>
      <c r="R97" s="34"/>
      <c r="S97" s="31" t="s">
        <v>117</v>
      </c>
      <c r="T97" s="35"/>
      <c r="U97" s="29" t="str">
        <f aca="false">IF(B97&lt;&gt;"Y","Out of scope",IF(N97="","Awaiting response",IF(AND(OR(N97="Yes",N97="Partial"),O97=""),"No detail: treat as unanswered",IF(AND(N97="Yes",R97=""),"No evidence link",IF(AND(S97="Gap",T97=""),"Gap needs owner and date in Comments","OK")))))</f>
        <v>Awaiting response</v>
      </c>
    </row>
    <row r="98" customFormat="false" ht="35.05" hidden="false" customHeight="false" outlineLevel="0" collapsed="false">
      <c r="A98" s="30" t="s">
        <v>778</v>
      </c>
      <c r="B98" s="31" t="s">
        <v>176</v>
      </c>
      <c r="C98" s="6" t="s">
        <v>144</v>
      </c>
      <c r="D98" s="6" t="s">
        <v>779</v>
      </c>
      <c r="E98" s="6" t="s">
        <v>780</v>
      </c>
      <c r="F98" s="6" t="s">
        <v>781</v>
      </c>
      <c r="G98" s="6" t="s">
        <v>693</v>
      </c>
      <c r="H98" s="6" t="s">
        <v>782</v>
      </c>
      <c r="I98" s="6" t="s">
        <v>710</v>
      </c>
      <c r="J98" s="6" t="s">
        <v>783</v>
      </c>
      <c r="K98" s="6" t="s">
        <v>135</v>
      </c>
      <c r="L98" s="31" t="s">
        <v>176</v>
      </c>
      <c r="M98" s="32" t="s">
        <v>185</v>
      </c>
      <c r="N98" s="33"/>
      <c r="O98" s="34"/>
      <c r="P98" s="34" t="s">
        <v>784</v>
      </c>
      <c r="Q98" s="6" t="s">
        <v>785</v>
      </c>
      <c r="R98" s="34"/>
      <c r="S98" s="31" t="s">
        <v>117</v>
      </c>
      <c r="T98" s="35"/>
      <c r="U98" s="29" t="str">
        <f aca="false">IF(B98&lt;&gt;"Y","Out of scope",IF(N98="","Awaiting response",IF(AND(OR(N98="Yes",N98="Partial"),O98=""),"No detail: treat as unanswered",IF(AND(N98="Yes",R98=""),"No evidence link",IF(AND(S98="Gap",T98=""),"Gap needs owner and date in Comments","OK")))))</f>
        <v>Awaiting response</v>
      </c>
    </row>
    <row r="99" customFormat="false" ht="23.85" hidden="false" customHeight="false" outlineLevel="0" collapsed="false">
      <c r="A99" s="30" t="s">
        <v>786</v>
      </c>
      <c r="B99" s="31" t="s">
        <v>176</v>
      </c>
      <c r="C99" s="6" t="s">
        <v>144</v>
      </c>
      <c r="D99" s="6" t="s">
        <v>787</v>
      </c>
      <c r="E99" s="6" t="s">
        <v>788</v>
      </c>
      <c r="F99" s="6" t="s">
        <v>729</v>
      </c>
      <c r="G99" s="6" t="s">
        <v>789</v>
      </c>
      <c r="H99" s="6" t="s">
        <v>731</v>
      </c>
      <c r="I99" s="6" t="s">
        <v>710</v>
      </c>
      <c r="J99" s="6" t="s">
        <v>790</v>
      </c>
      <c r="K99" s="6" t="s">
        <v>135</v>
      </c>
      <c r="L99" s="31" t="s">
        <v>176</v>
      </c>
      <c r="M99" s="32" t="s">
        <v>185</v>
      </c>
      <c r="N99" s="33"/>
      <c r="O99" s="34"/>
      <c r="P99" s="34" t="s">
        <v>187</v>
      </c>
      <c r="Q99" s="6" t="s">
        <v>791</v>
      </c>
      <c r="R99" s="34"/>
      <c r="S99" s="31" t="s">
        <v>117</v>
      </c>
      <c r="T99" s="35"/>
      <c r="U99" s="29" t="str">
        <f aca="false">IF(B99&lt;&gt;"Y","Out of scope",IF(N99="","Awaiting response",IF(AND(OR(N99="Yes",N99="Partial"),O99=""),"No detail: treat as unanswered",IF(AND(N99="Yes",R99=""),"No evidence link",IF(AND(S99="Gap",T99=""),"Gap needs owner and date in Comments","OK")))))</f>
        <v>Awaiting response</v>
      </c>
    </row>
    <row r="100" customFormat="false" ht="35.05" hidden="false" customHeight="false" outlineLevel="0" collapsed="false">
      <c r="A100" s="30" t="s">
        <v>792</v>
      </c>
      <c r="B100" s="31" t="s">
        <v>176</v>
      </c>
      <c r="C100" s="6" t="s">
        <v>144</v>
      </c>
      <c r="D100" s="6" t="s">
        <v>793</v>
      </c>
      <c r="E100" s="6" t="s">
        <v>794</v>
      </c>
      <c r="F100" s="6" t="s">
        <v>180</v>
      </c>
      <c r="G100" s="6" t="s">
        <v>673</v>
      </c>
      <c r="H100" s="6" t="s">
        <v>182</v>
      </c>
      <c r="I100" s="6" t="s">
        <v>322</v>
      </c>
      <c r="J100" s="6" t="s">
        <v>795</v>
      </c>
      <c r="K100" s="6" t="s">
        <v>133</v>
      </c>
      <c r="L100" s="31" t="s">
        <v>236</v>
      </c>
      <c r="M100" s="32" t="s">
        <v>185</v>
      </c>
      <c r="N100" s="33"/>
      <c r="O100" s="34"/>
      <c r="P100" s="34" t="s">
        <v>257</v>
      </c>
      <c r="Q100" s="6" t="s">
        <v>796</v>
      </c>
      <c r="R100" s="34"/>
      <c r="S100" s="31" t="s">
        <v>117</v>
      </c>
      <c r="T100" s="35"/>
      <c r="U100" s="29" t="str">
        <f aca="false">IF(B100&lt;&gt;"Y","Out of scope",IF(N100="","Awaiting response",IF(AND(OR(N100="Yes",N100="Partial"),O100=""),"No detail: treat as unanswered",IF(AND(N100="Yes",R100=""),"No evidence link",IF(AND(S100="Gap",T100=""),"Gap needs owner and date in Comments","OK")))))</f>
        <v>Awaiting response</v>
      </c>
    </row>
    <row r="101" customFormat="false" ht="35.05" hidden="false" customHeight="false" outlineLevel="0" collapsed="false">
      <c r="A101" s="30" t="s">
        <v>797</v>
      </c>
      <c r="B101" s="31" t="s">
        <v>176</v>
      </c>
      <c r="C101" s="6" t="s">
        <v>144</v>
      </c>
      <c r="D101" s="6" t="s">
        <v>798</v>
      </c>
      <c r="E101" s="6" t="s">
        <v>799</v>
      </c>
      <c r="F101" s="6" t="s">
        <v>692</v>
      </c>
      <c r="G101" s="6" t="s">
        <v>693</v>
      </c>
      <c r="H101" s="6" t="s">
        <v>614</v>
      </c>
      <c r="I101" s="6" t="s">
        <v>197</v>
      </c>
      <c r="J101" s="6" t="s">
        <v>800</v>
      </c>
      <c r="K101" s="6" t="s">
        <v>135</v>
      </c>
      <c r="L101" s="31" t="s">
        <v>236</v>
      </c>
      <c r="M101" s="32" t="s">
        <v>185</v>
      </c>
      <c r="N101" s="33"/>
      <c r="O101" s="34"/>
      <c r="P101" s="34" t="s">
        <v>393</v>
      </c>
      <c r="Q101" s="6" t="s">
        <v>801</v>
      </c>
      <c r="R101" s="34"/>
      <c r="S101" s="31" t="s">
        <v>117</v>
      </c>
      <c r="T101" s="35"/>
      <c r="U101" s="29" t="str">
        <f aca="false">IF(B101&lt;&gt;"Y","Out of scope",IF(N101="","Awaiting response",IF(AND(OR(N101="Yes",N101="Partial"),O101=""),"No detail: treat as unanswered",IF(AND(N101="Yes",R101=""),"No evidence link",IF(AND(S101="Gap",T101=""),"Gap needs owner and date in Comments","OK")))))</f>
        <v>Awaiting response</v>
      </c>
    </row>
    <row r="102" customFormat="false" ht="35.05" hidden="false" customHeight="false" outlineLevel="0" collapsed="false">
      <c r="A102" s="30" t="s">
        <v>802</v>
      </c>
      <c r="B102" s="31" t="s">
        <v>176</v>
      </c>
      <c r="C102" s="6" t="s">
        <v>144</v>
      </c>
      <c r="D102" s="6" t="s">
        <v>803</v>
      </c>
      <c r="E102" s="6" t="s">
        <v>804</v>
      </c>
      <c r="F102" s="6" t="s">
        <v>805</v>
      </c>
      <c r="G102" s="6" t="s">
        <v>347</v>
      </c>
      <c r="H102" s="6" t="s">
        <v>723</v>
      </c>
      <c r="I102" s="6" t="s">
        <v>710</v>
      </c>
      <c r="J102" s="6" t="s">
        <v>806</v>
      </c>
      <c r="K102" s="6" t="s">
        <v>135</v>
      </c>
      <c r="L102" s="31" t="s">
        <v>236</v>
      </c>
      <c r="M102" s="32" t="s">
        <v>185</v>
      </c>
      <c r="N102" s="33"/>
      <c r="O102" s="34"/>
      <c r="P102" s="34" t="s">
        <v>222</v>
      </c>
      <c r="Q102" s="6" t="s">
        <v>807</v>
      </c>
      <c r="R102" s="34"/>
      <c r="S102" s="31" t="s">
        <v>117</v>
      </c>
      <c r="T102" s="35"/>
      <c r="U102" s="29" t="str">
        <f aca="false">IF(B102&lt;&gt;"Y","Out of scope",IF(N102="","Awaiting response",IF(AND(OR(N102="Yes",N102="Partial"),O102=""),"No detail: treat as unanswered",IF(AND(N102="Yes",R102=""),"No evidence link",IF(AND(S102="Gap",T102=""),"Gap needs owner and date in Comments","OK")))))</f>
        <v>Awaiting response</v>
      </c>
    </row>
    <row r="103" customFormat="false" ht="35.05" hidden="false" customHeight="false" outlineLevel="0" collapsed="false">
      <c r="A103" s="30" t="s">
        <v>808</v>
      </c>
      <c r="B103" s="31" t="s">
        <v>176</v>
      </c>
      <c r="C103" s="6" t="s">
        <v>145</v>
      </c>
      <c r="D103" s="6" t="s">
        <v>809</v>
      </c>
      <c r="E103" s="6" t="s">
        <v>810</v>
      </c>
      <c r="F103" s="6" t="s">
        <v>398</v>
      </c>
      <c r="G103" s="6" t="s">
        <v>436</v>
      </c>
      <c r="H103" s="6" t="s">
        <v>400</v>
      </c>
      <c r="I103" s="6" t="s">
        <v>197</v>
      </c>
      <c r="J103" s="6" t="s">
        <v>811</v>
      </c>
      <c r="K103" s="6" t="s">
        <v>134</v>
      </c>
      <c r="L103" s="31" t="s">
        <v>176</v>
      </c>
      <c r="M103" s="32" t="s">
        <v>185</v>
      </c>
      <c r="N103" s="33"/>
      <c r="O103" s="34"/>
      <c r="P103" s="34" t="s">
        <v>393</v>
      </c>
      <c r="Q103" s="6" t="s">
        <v>812</v>
      </c>
      <c r="R103" s="34"/>
      <c r="S103" s="31" t="s">
        <v>117</v>
      </c>
      <c r="T103" s="35"/>
      <c r="U103" s="29" t="str">
        <f aca="false">IF(B103&lt;&gt;"Y","Out of scope",IF(N103="","Awaiting response",IF(AND(OR(N103="Yes",N103="Partial"),O103=""),"No detail: treat as unanswered",IF(AND(N103="Yes",R103=""),"No evidence link",IF(AND(S103="Gap",T103=""),"Gap needs owner and date in Comments","OK")))))</f>
        <v>Awaiting response</v>
      </c>
    </row>
    <row r="104" customFormat="false" ht="23.85" hidden="false" customHeight="false" outlineLevel="0" collapsed="false">
      <c r="A104" s="30" t="s">
        <v>813</v>
      </c>
      <c r="B104" s="31" t="s">
        <v>176</v>
      </c>
      <c r="C104" s="6" t="s">
        <v>145</v>
      </c>
      <c r="D104" s="6" t="s">
        <v>814</v>
      </c>
      <c r="E104" s="6" t="s">
        <v>815</v>
      </c>
      <c r="F104" s="6" t="s">
        <v>398</v>
      </c>
      <c r="G104" s="6" t="s">
        <v>436</v>
      </c>
      <c r="H104" s="6" t="s">
        <v>400</v>
      </c>
      <c r="I104" s="6" t="s">
        <v>197</v>
      </c>
      <c r="J104" s="6" t="s">
        <v>811</v>
      </c>
      <c r="K104" s="6" t="s">
        <v>134</v>
      </c>
      <c r="L104" s="31" t="s">
        <v>176</v>
      </c>
      <c r="M104" s="32" t="s">
        <v>185</v>
      </c>
      <c r="N104" s="33"/>
      <c r="O104" s="34"/>
      <c r="P104" s="34" t="s">
        <v>393</v>
      </c>
      <c r="Q104" s="6" t="s">
        <v>816</v>
      </c>
      <c r="R104" s="34"/>
      <c r="S104" s="31" t="s">
        <v>117</v>
      </c>
      <c r="T104" s="35"/>
      <c r="U104" s="29" t="str">
        <f aca="false">IF(B104&lt;&gt;"Y","Out of scope",IF(N104="","Awaiting response",IF(AND(OR(N104="Yes",N104="Partial"),O104=""),"No detail: treat as unanswered",IF(AND(N104="Yes",R104=""),"No evidence link",IF(AND(S104="Gap",T104=""),"Gap needs owner and date in Comments","OK")))))</f>
        <v>Awaiting response</v>
      </c>
    </row>
    <row r="105" customFormat="false" ht="35.05" hidden="false" customHeight="false" outlineLevel="0" collapsed="false">
      <c r="A105" s="30" t="s">
        <v>817</v>
      </c>
      <c r="B105" s="31" t="s">
        <v>176</v>
      </c>
      <c r="C105" s="6" t="s">
        <v>145</v>
      </c>
      <c r="D105" s="6" t="s">
        <v>818</v>
      </c>
      <c r="E105" s="6" t="s">
        <v>819</v>
      </c>
      <c r="F105" s="6" t="s">
        <v>398</v>
      </c>
      <c r="G105" s="6" t="s">
        <v>436</v>
      </c>
      <c r="H105" s="6" t="s">
        <v>400</v>
      </c>
      <c r="I105" s="6" t="s">
        <v>710</v>
      </c>
      <c r="J105" s="6" t="s">
        <v>206</v>
      </c>
      <c r="K105" s="6" t="s">
        <v>134</v>
      </c>
      <c r="L105" s="31" t="s">
        <v>176</v>
      </c>
      <c r="M105" s="32" t="s">
        <v>185</v>
      </c>
      <c r="N105" s="33"/>
      <c r="O105" s="34"/>
      <c r="P105" s="34" t="s">
        <v>393</v>
      </c>
      <c r="Q105" s="6" t="s">
        <v>820</v>
      </c>
      <c r="R105" s="34"/>
      <c r="S105" s="31" t="s">
        <v>117</v>
      </c>
      <c r="T105" s="35"/>
      <c r="U105" s="29" t="str">
        <f aca="false">IF(B105&lt;&gt;"Y","Out of scope",IF(N105="","Awaiting response",IF(AND(OR(N105="Yes",N105="Partial"),O105=""),"No detail: treat as unanswered",IF(AND(N105="Yes",R105=""),"No evidence link",IF(AND(S105="Gap",T105=""),"Gap needs owner and date in Comments","OK")))))</f>
        <v>Awaiting response</v>
      </c>
    </row>
    <row r="106" customFormat="false" ht="35.05" hidden="false" customHeight="false" outlineLevel="0" collapsed="false">
      <c r="A106" s="30" t="s">
        <v>821</v>
      </c>
      <c r="B106" s="31" t="s">
        <v>176</v>
      </c>
      <c r="C106" s="6" t="s">
        <v>145</v>
      </c>
      <c r="D106" s="6" t="s">
        <v>822</v>
      </c>
      <c r="E106" s="6" t="s">
        <v>823</v>
      </c>
      <c r="F106" s="6" t="s">
        <v>824</v>
      </c>
      <c r="G106" s="6" t="s">
        <v>825</v>
      </c>
      <c r="H106" s="6" t="s">
        <v>196</v>
      </c>
      <c r="I106" s="6" t="s">
        <v>197</v>
      </c>
      <c r="J106" s="6" t="s">
        <v>206</v>
      </c>
      <c r="K106" s="6" t="s">
        <v>133</v>
      </c>
      <c r="L106" s="31" t="s">
        <v>176</v>
      </c>
      <c r="M106" s="32" t="s">
        <v>185</v>
      </c>
      <c r="N106" s="33"/>
      <c r="O106" s="34"/>
      <c r="P106" s="34" t="s">
        <v>393</v>
      </c>
      <c r="Q106" s="6" t="s">
        <v>826</v>
      </c>
      <c r="R106" s="34"/>
      <c r="S106" s="31" t="s">
        <v>117</v>
      </c>
      <c r="T106" s="35"/>
      <c r="U106" s="29" t="str">
        <f aca="false">IF(B106&lt;&gt;"Y","Out of scope",IF(N106="","Awaiting response",IF(AND(OR(N106="Yes",N106="Partial"),O106=""),"No detail: treat as unanswered",IF(AND(N106="Yes",R106=""),"No evidence link",IF(AND(S106="Gap",T106=""),"Gap needs owner and date in Comments","OK")))))</f>
        <v>Awaiting response</v>
      </c>
    </row>
    <row r="107" customFormat="false" ht="35.05" hidden="false" customHeight="false" outlineLevel="0" collapsed="false">
      <c r="A107" s="30" t="s">
        <v>827</v>
      </c>
      <c r="B107" s="31" t="s">
        <v>176</v>
      </c>
      <c r="C107" s="6" t="s">
        <v>145</v>
      </c>
      <c r="D107" s="6" t="s">
        <v>828</v>
      </c>
      <c r="E107" s="6" t="s">
        <v>829</v>
      </c>
      <c r="F107" s="6" t="s">
        <v>398</v>
      </c>
      <c r="G107" s="6" t="s">
        <v>436</v>
      </c>
      <c r="H107" s="6" t="s">
        <v>400</v>
      </c>
      <c r="I107" s="6" t="s">
        <v>633</v>
      </c>
      <c r="J107" s="6" t="s">
        <v>206</v>
      </c>
      <c r="K107" s="6" t="s">
        <v>133</v>
      </c>
      <c r="L107" s="31" t="s">
        <v>176</v>
      </c>
      <c r="M107" s="32" t="s">
        <v>185</v>
      </c>
      <c r="N107" s="33"/>
      <c r="O107" s="34"/>
      <c r="P107" s="34" t="s">
        <v>393</v>
      </c>
      <c r="Q107" s="6" t="s">
        <v>830</v>
      </c>
      <c r="R107" s="34"/>
      <c r="S107" s="31" t="s">
        <v>117</v>
      </c>
      <c r="T107" s="35"/>
      <c r="U107" s="29" t="str">
        <f aca="false">IF(B107&lt;&gt;"Y","Out of scope",IF(N107="","Awaiting response",IF(AND(OR(N107="Yes",N107="Partial"),O107=""),"No detail: treat as unanswered",IF(AND(N107="Yes",R107=""),"No evidence link",IF(AND(S107="Gap",T107=""),"Gap needs owner and date in Comments","OK")))))</f>
        <v>Awaiting response</v>
      </c>
    </row>
    <row r="108" customFormat="false" ht="35.05" hidden="false" customHeight="false" outlineLevel="0" collapsed="false">
      <c r="A108" s="30" t="s">
        <v>831</v>
      </c>
      <c r="B108" s="31" t="s">
        <v>176</v>
      </c>
      <c r="C108" s="6" t="s">
        <v>145</v>
      </c>
      <c r="D108" s="6" t="s">
        <v>832</v>
      </c>
      <c r="E108" s="6" t="s">
        <v>833</v>
      </c>
      <c r="F108" s="6" t="s">
        <v>398</v>
      </c>
      <c r="G108" s="6" t="s">
        <v>834</v>
      </c>
      <c r="H108" s="6" t="s">
        <v>400</v>
      </c>
      <c r="I108" s="6" t="s">
        <v>197</v>
      </c>
      <c r="J108" s="6" t="s">
        <v>206</v>
      </c>
      <c r="K108" s="6" t="s">
        <v>135</v>
      </c>
      <c r="L108" s="31" t="s">
        <v>176</v>
      </c>
      <c r="M108" s="32" t="s">
        <v>185</v>
      </c>
      <c r="N108" s="33"/>
      <c r="O108" s="34"/>
      <c r="P108" s="34" t="s">
        <v>198</v>
      </c>
      <c r="Q108" s="6" t="s">
        <v>835</v>
      </c>
      <c r="R108" s="34"/>
      <c r="S108" s="31" t="s">
        <v>117</v>
      </c>
      <c r="T108" s="35"/>
      <c r="U108" s="29" t="str">
        <f aca="false">IF(B108&lt;&gt;"Y","Out of scope",IF(N108="","Awaiting response",IF(AND(OR(N108="Yes",N108="Partial"),O108=""),"No detail: treat as unanswered",IF(AND(N108="Yes",R108=""),"No evidence link",IF(AND(S108="Gap",T108=""),"Gap needs owner and date in Comments","OK")))))</f>
        <v>Awaiting response</v>
      </c>
    </row>
    <row r="109" customFormat="false" ht="23.85" hidden="false" customHeight="false" outlineLevel="0" collapsed="false">
      <c r="A109" s="30" t="s">
        <v>836</v>
      </c>
      <c r="B109" s="31" t="s">
        <v>176</v>
      </c>
      <c r="C109" s="6" t="s">
        <v>145</v>
      </c>
      <c r="D109" s="6" t="s">
        <v>837</v>
      </c>
      <c r="E109" s="6" t="s">
        <v>838</v>
      </c>
      <c r="F109" s="6" t="s">
        <v>398</v>
      </c>
      <c r="G109" s="6" t="s">
        <v>436</v>
      </c>
      <c r="H109" s="6" t="s">
        <v>400</v>
      </c>
      <c r="I109" s="6" t="s">
        <v>197</v>
      </c>
      <c r="J109" s="6" t="s">
        <v>206</v>
      </c>
      <c r="K109" s="6" t="s">
        <v>134</v>
      </c>
      <c r="L109" s="31" t="s">
        <v>236</v>
      </c>
      <c r="M109" s="32" t="s">
        <v>185</v>
      </c>
      <c r="N109" s="33"/>
      <c r="O109" s="34"/>
      <c r="P109" s="34" t="s">
        <v>393</v>
      </c>
      <c r="Q109" s="6" t="s">
        <v>839</v>
      </c>
      <c r="R109" s="34"/>
      <c r="S109" s="31" t="s">
        <v>117</v>
      </c>
      <c r="T109" s="35"/>
      <c r="U109" s="29" t="str">
        <f aca="false">IF(B109&lt;&gt;"Y","Out of scope",IF(N109="","Awaiting response",IF(AND(OR(N109="Yes",N109="Partial"),O109=""),"No detail: treat as unanswered",IF(AND(N109="Yes",R109=""),"No evidence link",IF(AND(S109="Gap",T109=""),"Gap needs owner and date in Comments","OK")))))</f>
        <v>Awaiting response</v>
      </c>
    </row>
    <row r="110" customFormat="false" ht="35.05" hidden="false" customHeight="false" outlineLevel="0" collapsed="false">
      <c r="A110" s="30" t="s">
        <v>840</v>
      </c>
      <c r="B110" s="31" t="s">
        <v>176</v>
      </c>
      <c r="C110" s="6" t="s">
        <v>145</v>
      </c>
      <c r="D110" s="6" t="s">
        <v>841</v>
      </c>
      <c r="E110" s="6" t="s">
        <v>842</v>
      </c>
      <c r="F110" s="6" t="s">
        <v>398</v>
      </c>
      <c r="G110" s="6" t="s">
        <v>436</v>
      </c>
      <c r="H110" s="6" t="s">
        <v>400</v>
      </c>
      <c r="I110" s="6" t="s">
        <v>843</v>
      </c>
      <c r="J110" s="6" t="s">
        <v>844</v>
      </c>
      <c r="K110" s="6" t="s">
        <v>133</v>
      </c>
      <c r="L110" s="31" t="s">
        <v>176</v>
      </c>
      <c r="M110" s="32" t="s">
        <v>185</v>
      </c>
      <c r="N110" s="33"/>
      <c r="O110" s="34"/>
      <c r="P110" s="34" t="s">
        <v>492</v>
      </c>
      <c r="Q110" s="6" t="s">
        <v>845</v>
      </c>
      <c r="R110" s="34"/>
      <c r="S110" s="31" t="s">
        <v>117</v>
      </c>
      <c r="T110" s="35"/>
      <c r="U110" s="29" t="str">
        <f aca="false">IF(B110&lt;&gt;"Y","Out of scope",IF(N110="","Awaiting response",IF(AND(OR(N110="Yes",N110="Partial"),O110=""),"No detail: treat as unanswered",IF(AND(N110="Yes",R110=""),"No evidence link",IF(AND(S110="Gap",T110=""),"Gap needs owner and date in Comments","OK")))))</f>
        <v>Awaiting response</v>
      </c>
    </row>
    <row r="111" customFormat="false" ht="23.85" hidden="false" customHeight="false" outlineLevel="0" collapsed="false">
      <c r="A111" s="30" t="s">
        <v>846</v>
      </c>
      <c r="B111" s="31" t="s">
        <v>176</v>
      </c>
      <c r="C111" s="6" t="s">
        <v>145</v>
      </c>
      <c r="D111" s="6" t="s">
        <v>847</v>
      </c>
      <c r="E111" s="6" t="s">
        <v>848</v>
      </c>
      <c r="F111" s="6" t="s">
        <v>398</v>
      </c>
      <c r="G111" s="6" t="s">
        <v>436</v>
      </c>
      <c r="H111" s="6" t="s">
        <v>400</v>
      </c>
      <c r="I111" s="6" t="s">
        <v>197</v>
      </c>
      <c r="J111" s="6" t="s">
        <v>811</v>
      </c>
      <c r="K111" s="6" t="s">
        <v>133</v>
      </c>
      <c r="L111" s="31" t="s">
        <v>176</v>
      </c>
      <c r="M111" s="32" t="s">
        <v>185</v>
      </c>
      <c r="N111" s="33"/>
      <c r="O111" s="34"/>
      <c r="P111" s="34" t="s">
        <v>393</v>
      </c>
      <c r="Q111" s="6" t="s">
        <v>849</v>
      </c>
      <c r="R111" s="34"/>
      <c r="S111" s="31" t="s">
        <v>117</v>
      </c>
      <c r="T111" s="35"/>
      <c r="U111" s="29" t="str">
        <f aca="false">IF(B111&lt;&gt;"Y","Out of scope",IF(N111="","Awaiting response",IF(AND(OR(N111="Yes",N111="Partial"),O111=""),"No detail: treat as unanswered",IF(AND(N111="Yes",R111=""),"No evidence link",IF(AND(S111="Gap",T111=""),"Gap needs owner and date in Comments","OK")))))</f>
        <v>Awaiting response</v>
      </c>
    </row>
    <row r="112" customFormat="false" ht="23.85" hidden="false" customHeight="false" outlineLevel="0" collapsed="false">
      <c r="A112" s="30" t="s">
        <v>850</v>
      </c>
      <c r="B112" s="31" t="s">
        <v>176</v>
      </c>
      <c r="C112" s="6" t="s">
        <v>145</v>
      </c>
      <c r="D112" s="6" t="s">
        <v>851</v>
      </c>
      <c r="E112" s="6" t="s">
        <v>852</v>
      </c>
      <c r="F112" s="6" t="s">
        <v>853</v>
      </c>
      <c r="G112" s="6" t="s">
        <v>436</v>
      </c>
      <c r="H112" s="6" t="s">
        <v>400</v>
      </c>
      <c r="I112" s="6" t="s">
        <v>698</v>
      </c>
      <c r="J112" s="6" t="s">
        <v>370</v>
      </c>
      <c r="K112" s="6" t="s">
        <v>134</v>
      </c>
      <c r="L112" s="31" t="s">
        <v>176</v>
      </c>
      <c r="M112" s="32" t="s">
        <v>278</v>
      </c>
      <c r="N112" s="33"/>
      <c r="O112" s="34"/>
      <c r="P112" s="34" t="s">
        <v>371</v>
      </c>
      <c r="Q112" s="6" t="s">
        <v>854</v>
      </c>
      <c r="R112" s="34"/>
      <c r="S112" s="31" t="s">
        <v>117</v>
      </c>
      <c r="T112" s="35"/>
      <c r="U112" s="29" t="str">
        <f aca="false">IF(B112&lt;&gt;"Y","Out of scope",IF(N112="","Awaiting response",IF(AND(OR(N112="Yes",N112="Partial"),O112=""),"No detail: treat as unanswered",IF(AND(N112="Yes",R112=""),"No evidence link",IF(AND(S112="Gap",T112=""),"Gap needs owner and date in Comments","OK")))))</f>
        <v>Awaiting response</v>
      </c>
    </row>
    <row r="113" customFormat="false" ht="23.85" hidden="false" customHeight="false" outlineLevel="0" collapsed="false">
      <c r="A113" s="30" t="s">
        <v>855</v>
      </c>
      <c r="B113" s="31" t="s">
        <v>176</v>
      </c>
      <c r="C113" s="6" t="s">
        <v>146</v>
      </c>
      <c r="D113" s="6" t="s">
        <v>856</v>
      </c>
      <c r="E113" s="6" t="s">
        <v>857</v>
      </c>
      <c r="F113" s="6" t="s">
        <v>398</v>
      </c>
      <c r="G113" s="6" t="s">
        <v>436</v>
      </c>
      <c r="H113" s="6" t="s">
        <v>400</v>
      </c>
      <c r="I113" s="6" t="s">
        <v>271</v>
      </c>
      <c r="J113" s="6" t="s">
        <v>486</v>
      </c>
      <c r="K113" s="6" t="s">
        <v>134</v>
      </c>
      <c r="L113" s="31" t="s">
        <v>176</v>
      </c>
      <c r="M113" s="32" t="s">
        <v>478</v>
      </c>
      <c r="N113" s="33"/>
      <c r="O113" s="34"/>
      <c r="P113" s="34" t="s">
        <v>393</v>
      </c>
      <c r="Q113" s="6" t="s">
        <v>858</v>
      </c>
      <c r="R113" s="34"/>
      <c r="S113" s="31" t="s">
        <v>117</v>
      </c>
      <c r="T113" s="35"/>
      <c r="U113" s="29" t="str">
        <f aca="false">IF(B113&lt;&gt;"Y","Out of scope",IF(N113="","Awaiting response",IF(AND(OR(N113="Yes",N113="Partial"),O113=""),"No detail: treat as unanswered",IF(AND(N113="Yes",R113=""),"No evidence link",IF(AND(S113="Gap",T113=""),"Gap needs owner and date in Comments","OK")))))</f>
        <v>Awaiting response</v>
      </c>
    </row>
    <row r="114" customFormat="false" ht="35.05" hidden="false" customHeight="false" outlineLevel="0" collapsed="false">
      <c r="A114" s="30" t="s">
        <v>859</v>
      </c>
      <c r="B114" s="31" t="s">
        <v>176</v>
      </c>
      <c r="C114" s="6" t="s">
        <v>146</v>
      </c>
      <c r="D114" s="6" t="s">
        <v>860</v>
      </c>
      <c r="E114" s="6" t="s">
        <v>861</v>
      </c>
      <c r="F114" s="6" t="s">
        <v>398</v>
      </c>
      <c r="G114" s="6" t="s">
        <v>436</v>
      </c>
      <c r="H114" s="6" t="s">
        <v>400</v>
      </c>
      <c r="I114" s="6" t="s">
        <v>197</v>
      </c>
      <c r="J114" s="6" t="s">
        <v>654</v>
      </c>
      <c r="K114" s="6" t="s">
        <v>134</v>
      </c>
      <c r="L114" s="31" t="s">
        <v>176</v>
      </c>
      <c r="M114" s="32" t="s">
        <v>185</v>
      </c>
      <c r="N114" s="33"/>
      <c r="O114" s="34"/>
      <c r="P114" s="34" t="s">
        <v>492</v>
      </c>
      <c r="Q114" s="6" t="s">
        <v>862</v>
      </c>
      <c r="R114" s="34"/>
      <c r="S114" s="31" t="s">
        <v>117</v>
      </c>
      <c r="T114" s="35"/>
      <c r="U114" s="29" t="str">
        <f aca="false">IF(B114&lt;&gt;"Y","Out of scope",IF(N114="","Awaiting response",IF(AND(OR(N114="Yes",N114="Partial"),O114=""),"No detail: treat as unanswered",IF(AND(N114="Yes",R114=""),"No evidence link",IF(AND(S114="Gap",T114=""),"Gap needs owner and date in Comments","OK")))))</f>
        <v>Awaiting response</v>
      </c>
    </row>
    <row r="115" customFormat="false" ht="35.05" hidden="false" customHeight="false" outlineLevel="0" collapsed="false">
      <c r="A115" s="30" t="s">
        <v>863</v>
      </c>
      <c r="B115" s="31" t="s">
        <v>176</v>
      </c>
      <c r="C115" s="6" t="s">
        <v>146</v>
      </c>
      <c r="D115" s="6" t="s">
        <v>864</v>
      </c>
      <c r="E115" s="6" t="s">
        <v>865</v>
      </c>
      <c r="F115" s="6" t="s">
        <v>398</v>
      </c>
      <c r="G115" s="6" t="s">
        <v>436</v>
      </c>
      <c r="H115" s="6" t="s">
        <v>400</v>
      </c>
      <c r="I115" s="6" t="s">
        <v>197</v>
      </c>
      <c r="J115" s="6" t="s">
        <v>197</v>
      </c>
      <c r="K115" s="6" t="s">
        <v>134</v>
      </c>
      <c r="L115" s="31" t="s">
        <v>236</v>
      </c>
      <c r="M115" s="32" t="s">
        <v>419</v>
      </c>
      <c r="N115" s="33"/>
      <c r="O115" s="34"/>
      <c r="P115" s="34" t="s">
        <v>393</v>
      </c>
      <c r="Q115" s="6" t="s">
        <v>866</v>
      </c>
      <c r="R115" s="34"/>
      <c r="S115" s="31" t="s">
        <v>117</v>
      </c>
      <c r="T115" s="35"/>
      <c r="U115" s="29" t="str">
        <f aca="false">IF(B115&lt;&gt;"Y","Out of scope",IF(N115="","Awaiting response",IF(AND(OR(N115="Yes",N115="Partial"),O115=""),"No detail: treat as unanswered",IF(AND(N115="Yes",R115=""),"No evidence link",IF(AND(S115="Gap",T115=""),"Gap needs owner and date in Comments","OK")))))</f>
        <v>Awaiting response</v>
      </c>
    </row>
    <row r="116" customFormat="false" ht="35.05" hidden="false" customHeight="false" outlineLevel="0" collapsed="false">
      <c r="A116" s="30" t="s">
        <v>867</v>
      </c>
      <c r="B116" s="31" t="s">
        <v>176</v>
      </c>
      <c r="C116" s="6" t="s">
        <v>146</v>
      </c>
      <c r="D116" s="6" t="s">
        <v>868</v>
      </c>
      <c r="E116" s="6" t="s">
        <v>869</v>
      </c>
      <c r="F116" s="6" t="s">
        <v>398</v>
      </c>
      <c r="G116" s="6" t="s">
        <v>436</v>
      </c>
      <c r="H116" s="6" t="s">
        <v>400</v>
      </c>
      <c r="I116" s="6" t="s">
        <v>687</v>
      </c>
      <c r="J116" s="6" t="s">
        <v>644</v>
      </c>
      <c r="K116" s="6" t="s">
        <v>134</v>
      </c>
      <c r="L116" s="31" t="s">
        <v>176</v>
      </c>
      <c r="M116" s="32" t="s">
        <v>185</v>
      </c>
      <c r="N116" s="33"/>
      <c r="O116" s="34"/>
      <c r="P116" s="34" t="s">
        <v>393</v>
      </c>
      <c r="Q116" s="6" t="s">
        <v>870</v>
      </c>
      <c r="R116" s="34"/>
      <c r="S116" s="31" t="s">
        <v>117</v>
      </c>
      <c r="T116" s="35"/>
      <c r="U116" s="29" t="str">
        <f aca="false">IF(B116&lt;&gt;"Y","Out of scope",IF(N116="","Awaiting response",IF(AND(OR(N116="Yes",N116="Partial"),O116=""),"No detail: treat as unanswered",IF(AND(N116="Yes",R116=""),"No evidence link",IF(AND(S116="Gap",T116=""),"Gap needs owner and date in Comments","OK")))))</f>
        <v>Awaiting response</v>
      </c>
    </row>
    <row r="117" customFormat="false" ht="35.05" hidden="false" customHeight="false" outlineLevel="0" collapsed="false">
      <c r="A117" s="30" t="s">
        <v>871</v>
      </c>
      <c r="B117" s="31" t="s">
        <v>176</v>
      </c>
      <c r="C117" s="6" t="s">
        <v>146</v>
      </c>
      <c r="D117" s="6" t="s">
        <v>872</v>
      </c>
      <c r="E117" s="6" t="s">
        <v>873</v>
      </c>
      <c r="F117" s="6" t="s">
        <v>398</v>
      </c>
      <c r="G117" s="6" t="s">
        <v>436</v>
      </c>
      <c r="H117" s="6" t="s">
        <v>400</v>
      </c>
      <c r="I117" s="6" t="s">
        <v>687</v>
      </c>
      <c r="J117" s="6" t="s">
        <v>644</v>
      </c>
      <c r="K117" s="6" t="s">
        <v>134</v>
      </c>
      <c r="L117" s="31" t="s">
        <v>236</v>
      </c>
      <c r="M117" s="32" t="s">
        <v>185</v>
      </c>
      <c r="N117" s="33"/>
      <c r="O117" s="34"/>
      <c r="P117" s="34" t="s">
        <v>393</v>
      </c>
      <c r="Q117" s="6" t="s">
        <v>874</v>
      </c>
      <c r="R117" s="34"/>
      <c r="S117" s="31" t="s">
        <v>117</v>
      </c>
      <c r="T117" s="35"/>
      <c r="U117" s="29" t="str">
        <f aca="false">IF(B117&lt;&gt;"Y","Out of scope",IF(N117="","Awaiting response",IF(AND(OR(N117="Yes",N117="Partial"),O117=""),"No detail: treat as unanswered",IF(AND(N117="Yes",R117=""),"No evidence link",IF(AND(S117="Gap",T117=""),"Gap needs owner and date in Comments","OK")))))</f>
        <v>Awaiting response</v>
      </c>
    </row>
    <row r="118" customFormat="false" ht="35.05" hidden="false" customHeight="false" outlineLevel="0" collapsed="false">
      <c r="A118" s="30" t="s">
        <v>875</v>
      </c>
      <c r="B118" s="31" t="s">
        <v>176</v>
      </c>
      <c r="C118" s="6" t="s">
        <v>146</v>
      </c>
      <c r="D118" s="6" t="s">
        <v>876</v>
      </c>
      <c r="E118" s="6" t="s">
        <v>877</v>
      </c>
      <c r="F118" s="6" t="s">
        <v>398</v>
      </c>
      <c r="G118" s="6" t="s">
        <v>594</v>
      </c>
      <c r="H118" s="6" t="s">
        <v>485</v>
      </c>
      <c r="I118" s="6" t="s">
        <v>271</v>
      </c>
      <c r="J118" s="6" t="s">
        <v>486</v>
      </c>
      <c r="K118" s="6" t="s">
        <v>134</v>
      </c>
      <c r="L118" s="31" t="s">
        <v>176</v>
      </c>
      <c r="M118" s="32" t="s">
        <v>478</v>
      </c>
      <c r="N118" s="33"/>
      <c r="O118" s="34"/>
      <c r="P118" s="34" t="s">
        <v>187</v>
      </c>
      <c r="Q118" s="6" t="s">
        <v>878</v>
      </c>
      <c r="R118" s="34"/>
      <c r="S118" s="31" t="s">
        <v>117</v>
      </c>
      <c r="T118" s="35"/>
      <c r="U118" s="29" t="str">
        <f aca="false">IF(B118&lt;&gt;"Y","Out of scope",IF(N118="","Awaiting response",IF(AND(OR(N118="Yes",N118="Partial"),O118=""),"No detail: treat as unanswered",IF(AND(N118="Yes",R118=""),"No evidence link",IF(AND(S118="Gap",T118=""),"Gap needs owner and date in Comments","OK")))))</f>
        <v>Awaiting response</v>
      </c>
    </row>
    <row r="119" customFormat="false" ht="35.05" hidden="false" customHeight="false" outlineLevel="0" collapsed="false">
      <c r="A119" s="30" t="s">
        <v>879</v>
      </c>
      <c r="B119" s="31" t="s">
        <v>176</v>
      </c>
      <c r="C119" s="6" t="s">
        <v>146</v>
      </c>
      <c r="D119" s="6" t="s">
        <v>880</v>
      </c>
      <c r="E119" s="6" t="s">
        <v>881</v>
      </c>
      <c r="F119" s="6" t="s">
        <v>398</v>
      </c>
      <c r="G119" s="6" t="s">
        <v>436</v>
      </c>
      <c r="H119" s="6" t="s">
        <v>182</v>
      </c>
      <c r="I119" s="6" t="s">
        <v>271</v>
      </c>
      <c r="J119" s="6" t="s">
        <v>486</v>
      </c>
      <c r="K119" s="6" t="s">
        <v>134</v>
      </c>
      <c r="L119" s="31" t="s">
        <v>176</v>
      </c>
      <c r="M119" s="32" t="s">
        <v>478</v>
      </c>
      <c r="N119" s="33"/>
      <c r="O119" s="34"/>
      <c r="P119" s="34" t="s">
        <v>393</v>
      </c>
      <c r="Q119" s="6" t="s">
        <v>882</v>
      </c>
      <c r="R119" s="34"/>
      <c r="S119" s="31" t="s">
        <v>117</v>
      </c>
      <c r="T119" s="35"/>
      <c r="U119" s="29" t="str">
        <f aca="false">IF(B119&lt;&gt;"Y","Out of scope",IF(N119="","Awaiting response",IF(AND(OR(N119="Yes",N119="Partial"),O119=""),"No detail: treat as unanswered",IF(AND(N119="Yes",R119=""),"No evidence link",IF(AND(S119="Gap",T119=""),"Gap needs owner and date in Comments","OK")))))</f>
        <v>Awaiting response</v>
      </c>
    </row>
    <row r="120" customFormat="false" ht="35.05" hidden="false" customHeight="false" outlineLevel="0" collapsed="false">
      <c r="A120" s="30" t="s">
        <v>883</v>
      </c>
      <c r="B120" s="31" t="s">
        <v>176</v>
      </c>
      <c r="C120" s="6" t="s">
        <v>146</v>
      </c>
      <c r="D120" s="6" t="s">
        <v>884</v>
      </c>
      <c r="E120" s="6" t="s">
        <v>885</v>
      </c>
      <c r="F120" s="6" t="s">
        <v>886</v>
      </c>
      <c r="G120" s="6" t="s">
        <v>436</v>
      </c>
      <c r="H120" s="6" t="s">
        <v>400</v>
      </c>
      <c r="I120" s="6" t="s">
        <v>271</v>
      </c>
      <c r="J120" s="6" t="s">
        <v>486</v>
      </c>
      <c r="K120" s="6" t="s">
        <v>134</v>
      </c>
      <c r="L120" s="31" t="s">
        <v>236</v>
      </c>
      <c r="M120" s="32" t="s">
        <v>478</v>
      </c>
      <c r="N120" s="33"/>
      <c r="O120" s="34"/>
      <c r="P120" s="34" t="s">
        <v>393</v>
      </c>
      <c r="Q120" s="6" t="s">
        <v>887</v>
      </c>
      <c r="R120" s="34"/>
      <c r="S120" s="31" t="s">
        <v>117</v>
      </c>
      <c r="T120" s="35"/>
      <c r="U120" s="29" t="str">
        <f aca="false">IF(B120&lt;&gt;"Y","Out of scope",IF(N120="","Awaiting response",IF(AND(OR(N120="Yes",N120="Partial"),O120=""),"No detail: treat as unanswered",IF(AND(N120="Yes",R120=""),"No evidence link",IF(AND(S120="Gap",T120=""),"Gap needs owner and date in Comments","OK")))))</f>
        <v>Awaiting response</v>
      </c>
    </row>
    <row r="121" customFormat="false" ht="46.25" hidden="false" customHeight="false" outlineLevel="0" collapsed="false">
      <c r="A121" s="30" t="s">
        <v>888</v>
      </c>
      <c r="B121" s="31" t="s">
        <v>176</v>
      </c>
      <c r="C121" s="6" t="s">
        <v>146</v>
      </c>
      <c r="D121" s="6" t="s">
        <v>889</v>
      </c>
      <c r="E121" s="6" t="s">
        <v>890</v>
      </c>
      <c r="F121" s="6" t="s">
        <v>398</v>
      </c>
      <c r="G121" s="6" t="s">
        <v>436</v>
      </c>
      <c r="H121" s="6" t="s">
        <v>400</v>
      </c>
      <c r="I121" s="6" t="s">
        <v>197</v>
      </c>
      <c r="J121" s="6" t="s">
        <v>197</v>
      </c>
      <c r="K121" s="6" t="s">
        <v>134</v>
      </c>
      <c r="L121" s="31" t="s">
        <v>236</v>
      </c>
      <c r="M121" s="32" t="s">
        <v>419</v>
      </c>
      <c r="N121" s="33"/>
      <c r="O121" s="34"/>
      <c r="P121" s="34" t="s">
        <v>393</v>
      </c>
      <c r="Q121" s="6" t="s">
        <v>891</v>
      </c>
      <c r="R121" s="34"/>
      <c r="S121" s="31" t="s">
        <v>117</v>
      </c>
      <c r="T121" s="35"/>
      <c r="U121" s="29" t="str">
        <f aca="false">IF(B121&lt;&gt;"Y","Out of scope",IF(N121="","Awaiting response",IF(AND(OR(N121="Yes",N121="Partial"),O121=""),"No detail: treat as unanswered",IF(AND(N121="Yes",R121=""),"No evidence link",IF(AND(S121="Gap",T121=""),"Gap needs owner and date in Comments","OK")))))</f>
        <v>Awaiting response</v>
      </c>
    </row>
    <row r="122" customFormat="false" ht="35.05" hidden="false" customHeight="false" outlineLevel="0" collapsed="false">
      <c r="A122" s="30" t="s">
        <v>892</v>
      </c>
      <c r="B122" s="31" t="s">
        <v>176</v>
      </c>
      <c r="C122" s="6" t="s">
        <v>146</v>
      </c>
      <c r="D122" s="6" t="s">
        <v>893</v>
      </c>
      <c r="E122" s="6" t="s">
        <v>894</v>
      </c>
      <c r="F122" s="6" t="s">
        <v>398</v>
      </c>
      <c r="G122" s="6" t="s">
        <v>895</v>
      </c>
      <c r="H122" s="6" t="s">
        <v>400</v>
      </c>
      <c r="I122" s="6" t="s">
        <v>197</v>
      </c>
      <c r="J122" s="6" t="s">
        <v>197</v>
      </c>
      <c r="K122" s="6" t="s">
        <v>134</v>
      </c>
      <c r="L122" s="31" t="s">
        <v>176</v>
      </c>
      <c r="M122" s="32" t="s">
        <v>185</v>
      </c>
      <c r="N122" s="33"/>
      <c r="O122" s="34"/>
      <c r="P122" s="34" t="s">
        <v>187</v>
      </c>
      <c r="Q122" s="6" t="s">
        <v>896</v>
      </c>
      <c r="R122" s="34"/>
      <c r="S122" s="31" t="s">
        <v>117</v>
      </c>
      <c r="T122" s="35"/>
      <c r="U122" s="29" t="str">
        <f aca="false">IF(B122&lt;&gt;"Y","Out of scope",IF(N122="","Awaiting response",IF(AND(OR(N122="Yes",N122="Partial"),O122=""),"No detail: treat as unanswered",IF(AND(N122="Yes",R122=""),"No evidence link",IF(AND(S122="Gap",T122=""),"Gap needs owner and date in Comments","OK")))))</f>
        <v>Awaiting response</v>
      </c>
    </row>
    <row r="123" customFormat="false" ht="23.85" hidden="false" customHeight="false" outlineLevel="0" collapsed="false">
      <c r="A123" s="30" t="s">
        <v>897</v>
      </c>
      <c r="B123" s="31" t="s">
        <v>176</v>
      </c>
      <c r="C123" s="6" t="s">
        <v>146</v>
      </c>
      <c r="D123" s="6" t="s">
        <v>898</v>
      </c>
      <c r="E123" s="6" t="s">
        <v>899</v>
      </c>
      <c r="F123" s="6" t="s">
        <v>398</v>
      </c>
      <c r="G123" s="6" t="s">
        <v>900</v>
      </c>
      <c r="H123" s="6" t="s">
        <v>400</v>
      </c>
      <c r="I123" s="6" t="s">
        <v>197</v>
      </c>
      <c r="J123" s="6" t="s">
        <v>197</v>
      </c>
      <c r="K123" s="6" t="s">
        <v>134</v>
      </c>
      <c r="L123" s="31" t="s">
        <v>236</v>
      </c>
      <c r="M123" s="32" t="s">
        <v>185</v>
      </c>
      <c r="N123" s="33"/>
      <c r="O123" s="34"/>
      <c r="P123" s="34" t="s">
        <v>257</v>
      </c>
      <c r="Q123" s="6" t="s">
        <v>901</v>
      </c>
      <c r="R123" s="34"/>
      <c r="S123" s="31" t="s">
        <v>117</v>
      </c>
      <c r="T123" s="35"/>
      <c r="U123" s="29" t="str">
        <f aca="false">IF(B123&lt;&gt;"Y","Out of scope",IF(N123="","Awaiting response",IF(AND(OR(N123="Yes",N123="Partial"),O123=""),"No detail: treat as unanswered",IF(AND(N123="Yes",R123=""),"No evidence link",IF(AND(S123="Gap",T123=""),"Gap needs owner and date in Comments","OK")))))</f>
        <v>Awaiting response</v>
      </c>
    </row>
    <row r="124" customFormat="false" ht="35.05" hidden="false" customHeight="false" outlineLevel="0" collapsed="false">
      <c r="A124" s="30" t="s">
        <v>902</v>
      </c>
      <c r="B124" s="31" t="s">
        <v>176</v>
      </c>
      <c r="C124" s="6" t="s">
        <v>146</v>
      </c>
      <c r="D124" s="6" t="s">
        <v>903</v>
      </c>
      <c r="E124" s="6" t="s">
        <v>904</v>
      </c>
      <c r="F124" s="6" t="s">
        <v>398</v>
      </c>
      <c r="G124" s="6" t="s">
        <v>436</v>
      </c>
      <c r="H124" s="6" t="s">
        <v>400</v>
      </c>
      <c r="I124" s="6" t="s">
        <v>305</v>
      </c>
      <c r="J124" s="6" t="s">
        <v>370</v>
      </c>
      <c r="K124" s="6" t="s">
        <v>134</v>
      </c>
      <c r="L124" s="31" t="s">
        <v>236</v>
      </c>
      <c r="M124" s="32" t="s">
        <v>905</v>
      </c>
      <c r="N124" s="33"/>
      <c r="O124" s="34"/>
      <c r="P124" s="34" t="s">
        <v>371</v>
      </c>
      <c r="Q124" s="6" t="s">
        <v>906</v>
      </c>
      <c r="R124" s="34"/>
      <c r="S124" s="31" t="s">
        <v>117</v>
      </c>
      <c r="T124" s="35"/>
      <c r="U124" s="29" t="str">
        <f aca="false">IF(B124&lt;&gt;"Y","Out of scope",IF(N124="","Awaiting response",IF(AND(OR(N124="Yes",N124="Partial"),O124=""),"No detail: treat as unanswered",IF(AND(N124="Yes",R124=""),"No evidence link",IF(AND(S124="Gap",T124=""),"Gap needs owner and date in Comments","OK")))))</f>
        <v>Awaiting response</v>
      </c>
    </row>
    <row r="125" customFormat="false" ht="35.05" hidden="false" customHeight="false" outlineLevel="0" collapsed="false">
      <c r="A125" s="30" t="s">
        <v>907</v>
      </c>
      <c r="B125" s="31" t="s">
        <v>176</v>
      </c>
      <c r="C125" s="6" t="s">
        <v>147</v>
      </c>
      <c r="D125" s="6" t="s">
        <v>908</v>
      </c>
      <c r="E125" s="6" t="s">
        <v>909</v>
      </c>
      <c r="F125" s="6" t="s">
        <v>781</v>
      </c>
      <c r="G125" s="6" t="s">
        <v>693</v>
      </c>
      <c r="H125" s="6" t="s">
        <v>782</v>
      </c>
      <c r="I125" s="6" t="s">
        <v>197</v>
      </c>
      <c r="J125" s="6" t="s">
        <v>783</v>
      </c>
      <c r="K125" s="6" t="s">
        <v>135</v>
      </c>
      <c r="L125" s="31" t="s">
        <v>176</v>
      </c>
      <c r="M125" s="32" t="s">
        <v>185</v>
      </c>
      <c r="N125" s="33"/>
      <c r="O125" s="34"/>
      <c r="P125" s="34" t="s">
        <v>393</v>
      </c>
      <c r="Q125" s="6" t="s">
        <v>910</v>
      </c>
      <c r="R125" s="34"/>
      <c r="S125" s="31" t="s">
        <v>117</v>
      </c>
      <c r="T125" s="35"/>
      <c r="U125" s="29" t="str">
        <f aca="false">IF(B125&lt;&gt;"Y","Out of scope",IF(N125="","Awaiting response",IF(AND(OR(N125="Yes",N125="Partial"),O125=""),"No detail: treat as unanswered",IF(AND(N125="Yes",R125=""),"No evidence link",IF(AND(S125="Gap",T125=""),"Gap needs owner and date in Comments","OK")))))</f>
        <v>Awaiting response</v>
      </c>
    </row>
    <row r="126" customFormat="false" ht="35.05" hidden="false" customHeight="false" outlineLevel="0" collapsed="false">
      <c r="A126" s="30" t="s">
        <v>911</v>
      </c>
      <c r="B126" s="31" t="s">
        <v>176</v>
      </c>
      <c r="C126" s="6" t="s">
        <v>147</v>
      </c>
      <c r="D126" s="6" t="s">
        <v>912</v>
      </c>
      <c r="E126" s="6" t="s">
        <v>913</v>
      </c>
      <c r="F126" s="6" t="s">
        <v>914</v>
      </c>
      <c r="G126" s="6" t="s">
        <v>915</v>
      </c>
      <c r="H126" s="6" t="s">
        <v>425</v>
      </c>
      <c r="I126" s="6" t="s">
        <v>305</v>
      </c>
      <c r="J126" s="6" t="s">
        <v>783</v>
      </c>
      <c r="K126" s="6" t="s">
        <v>135</v>
      </c>
      <c r="L126" s="31" t="s">
        <v>176</v>
      </c>
      <c r="M126" s="32" t="s">
        <v>185</v>
      </c>
      <c r="N126" s="33"/>
      <c r="O126" s="34"/>
      <c r="P126" s="34" t="s">
        <v>784</v>
      </c>
      <c r="Q126" s="6" t="s">
        <v>916</v>
      </c>
      <c r="R126" s="34"/>
      <c r="S126" s="31" t="s">
        <v>117</v>
      </c>
      <c r="T126" s="35"/>
      <c r="U126" s="29" t="str">
        <f aca="false">IF(B126&lt;&gt;"Y","Out of scope",IF(N126="","Awaiting response",IF(AND(OR(N126="Yes",N126="Partial"),O126=""),"No detail: treat as unanswered",IF(AND(N126="Yes",R126=""),"No evidence link",IF(AND(S126="Gap",T126=""),"Gap needs owner and date in Comments","OK")))))</f>
        <v>Awaiting response</v>
      </c>
    </row>
    <row r="127" customFormat="false" ht="35.05" hidden="false" customHeight="false" outlineLevel="0" collapsed="false">
      <c r="A127" s="30" t="s">
        <v>917</v>
      </c>
      <c r="B127" s="31" t="s">
        <v>176</v>
      </c>
      <c r="C127" s="6" t="s">
        <v>147</v>
      </c>
      <c r="D127" s="6" t="s">
        <v>918</v>
      </c>
      <c r="E127" s="6" t="s">
        <v>919</v>
      </c>
      <c r="F127" s="6" t="s">
        <v>781</v>
      </c>
      <c r="G127" s="6" t="s">
        <v>693</v>
      </c>
      <c r="H127" s="6" t="s">
        <v>920</v>
      </c>
      <c r="I127" s="6" t="s">
        <v>643</v>
      </c>
      <c r="J127" s="6" t="s">
        <v>921</v>
      </c>
      <c r="K127" s="6" t="s">
        <v>135</v>
      </c>
      <c r="L127" s="31" t="s">
        <v>176</v>
      </c>
      <c r="M127" s="32" t="s">
        <v>185</v>
      </c>
      <c r="N127" s="33"/>
      <c r="O127" s="34"/>
      <c r="P127" s="34" t="s">
        <v>393</v>
      </c>
      <c r="Q127" s="6" t="s">
        <v>922</v>
      </c>
      <c r="R127" s="34"/>
      <c r="S127" s="31" t="s">
        <v>117</v>
      </c>
      <c r="T127" s="35"/>
      <c r="U127" s="29" t="str">
        <f aca="false">IF(B127&lt;&gt;"Y","Out of scope",IF(N127="","Awaiting response",IF(AND(OR(N127="Yes",N127="Partial"),O127=""),"No detail: treat as unanswered",IF(AND(N127="Yes",R127=""),"No evidence link",IF(AND(S127="Gap",T127=""),"Gap needs owner and date in Comments","OK")))))</f>
        <v>Awaiting response</v>
      </c>
    </row>
    <row r="128" customFormat="false" ht="35.05" hidden="false" customHeight="false" outlineLevel="0" collapsed="false">
      <c r="A128" s="30" t="s">
        <v>923</v>
      </c>
      <c r="B128" s="31" t="s">
        <v>176</v>
      </c>
      <c r="C128" s="6" t="s">
        <v>147</v>
      </c>
      <c r="D128" s="6" t="s">
        <v>924</v>
      </c>
      <c r="E128" s="6" t="s">
        <v>925</v>
      </c>
      <c r="F128" s="6" t="s">
        <v>781</v>
      </c>
      <c r="G128" s="6" t="s">
        <v>915</v>
      </c>
      <c r="H128" s="6" t="s">
        <v>425</v>
      </c>
      <c r="I128" s="6" t="s">
        <v>197</v>
      </c>
      <c r="J128" s="6" t="s">
        <v>783</v>
      </c>
      <c r="K128" s="6" t="s">
        <v>135</v>
      </c>
      <c r="L128" s="31" t="s">
        <v>176</v>
      </c>
      <c r="M128" s="32" t="s">
        <v>185</v>
      </c>
      <c r="N128" s="33"/>
      <c r="O128" s="34"/>
      <c r="P128" s="34" t="s">
        <v>393</v>
      </c>
      <c r="Q128" s="6" t="s">
        <v>926</v>
      </c>
      <c r="R128" s="34"/>
      <c r="S128" s="31" t="s">
        <v>117</v>
      </c>
      <c r="T128" s="35"/>
      <c r="U128" s="29" t="str">
        <f aca="false">IF(B128&lt;&gt;"Y","Out of scope",IF(N128="","Awaiting response",IF(AND(OR(N128="Yes",N128="Partial"),O128=""),"No detail: treat as unanswered",IF(AND(N128="Yes",R128=""),"No evidence link",IF(AND(S128="Gap",T128=""),"Gap needs owner and date in Comments","OK")))))</f>
        <v>Awaiting response</v>
      </c>
    </row>
    <row r="129" customFormat="false" ht="35.05" hidden="false" customHeight="false" outlineLevel="0" collapsed="false">
      <c r="A129" s="30" t="s">
        <v>927</v>
      </c>
      <c r="B129" s="31" t="s">
        <v>176</v>
      </c>
      <c r="C129" s="6" t="s">
        <v>147</v>
      </c>
      <c r="D129" s="6" t="s">
        <v>928</v>
      </c>
      <c r="E129" s="6" t="s">
        <v>929</v>
      </c>
      <c r="F129" s="6" t="s">
        <v>692</v>
      </c>
      <c r="G129" s="6" t="s">
        <v>930</v>
      </c>
      <c r="H129" s="6" t="s">
        <v>931</v>
      </c>
      <c r="I129" s="6" t="s">
        <v>322</v>
      </c>
      <c r="J129" s="6" t="s">
        <v>457</v>
      </c>
      <c r="K129" s="6" t="s">
        <v>135</v>
      </c>
      <c r="L129" s="31" t="s">
        <v>176</v>
      </c>
      <c r="M129" s="32" t="s">
        <v>185</v>
      </c>
      <c r="N129" s="33"/>
      <c r="O129" s="34"/>
      <c r="P129" s="34" t="s">
        <v>393</v>
      </c>
      <c r="Q129" s="6" t="s">
        <v>932</v>
      </c>
      <c r="R129" s="34"/>
      <c r="S129" s="31" t="s">
        <v>117</v>
      </c>
      <c r="T129" s="35"/>
      <c r="U129" s="29" t="str">
        <f aca="false">IF(B129&lt;&gt;"Y","Out of scope",IF(N129="","Awaiting response",IF(AND(OR(N129="Yes",N129="Partial"),O129=""),"No detail: treat as unanswered",IF(AND(N129="Yes",R129=""),"No evidence link",IF(AND(S129="Gap",T129=""),"Gap needs owner and date in Comments","OK")))))</f>
        <v>Awaiting response</v>
      </c>
    </row>
    <row r="130" customFormat="false" ht="35.05" hidden="false" customHeight="false" outlineLevel="0" collapsed="false">
      <c r="A130" s="30" t="s">
        <v>933</v>
      </c>
      <c r="B130" s="31" t="s">
        <v>176</v>
      </c>
      <c r="C130" s="6" t="s">
        <v>147</v>
      </c>
      <c r="D130" s="6" t="s">
        <v>934</v>
      </c>
      <c r="E130" s="6" t="s">
        <v>935</v>
      </c>
      <c r="F130" s="6" t="s">
        <v>936</v>
      </c>
      <c r="G130" s="6" t="s">
        <v>693</v>
      </c>
      <c r="H130" s="6" t="s">
        <v>937</v>
      </c>
      <c r="I130" s="6" t="s">
        <v>938</v>
      </c>
      <c r="J130" s="6" t="s">
        <v>939</v>
      </c>
      <c r="K130" s="6" t="s">
        <v>135</v>
      </c>
      <c r="L130" s="31" t="s">
        <v>236</v>
      </c>
      <c r="M130" s="32" t="s">
        <v>185</v>
      </c>
      <c r="N130" s="33"/>
      <c r="O130" s="34"/>
      <c r="P130" s="34" t="s">
        <v>198</v>
      </c>
      <c r="Q130" s="6" t="s">
        <v>940</v>
      </c>
      <c r="R130" s="34"/>
      <c r="S130" s="31" t="s">
        <v>117</v>
      </c>
      <c r="T130" s="35"/>
      <c r="U130" s="29" t="str">
        <f aca="false">IF(B130&lt;&gt;"Y","Out of scope",IF(N130="","Awaiting response",IF(AND(OR(N130="Yes",N130="Partial"),O130=""),"No detail: treat as unanswered",IF(AND(N130="Yes",R130=""),"No evidence link",IF(AND(S130="Gap",T130=""),"Gap needs owner and date in Comments","OK")))))</f>
        <v>Awaiting response</v>
      </c>
    </row>
    <row r="131" customFormat="false" ht="23.85" hidden="false" customHeight="false" outlineLevel="0" collapsed="false">
      <c r="A131" s="30" t="s">
        <v>941</v>
      </c>
      <c r="B131" s="31" t="s">
        <v>176</v>
      </c>
      <c r="C131" s="6" t="s">
        <v>147</v>
      </c>
      <c r="D131" s="6" t="s">
        <v>942</v>
      </c>
      <c r="E131" s="6" t="s">
        <v>943</v>
      </c>
      <c r="F131" s="6" t="s">
        <v>398</v>
      </c>
      <c r="G131" s="6" t="s">
        <v>944</v>
      </c>
      <c r="H131" s="6" t="s">
        <v>197</v>
      </c>
      <c r="I131" s="6" t="s">
        <v>687</v>
      </c>
      <c r="J131" s="6" t="s">
        <v>644</v>
      </c>
      <c r="K131" s="6" t="s">
        <v>135</v>
      </c>
      <c r="L131" s="31" t="s">
        <v>236</v>
      </c>
      <c r="M131" s="32" t="s">
        <v>185</v>
      </c>
      <c r="N131" s="33"/>
      <c r="O131" s="34"/>
      <c r="P131" s="34" t="s">
        <v>393</v>
      </c>
      <c r="Q131" s="6" t="s">
        <v>945</v>
      </c>
      <c r="R131" s="34"/>
      <c r="S131" s="31" t="s">
        <v>117</v>
      </c>
      <c r="T131" s="35"/>
      <c r="U131" s="29" t="str">
        <f aca="false">IF(B131&lt;&gt;"Y","Out of scope",IF(N131="","Awaiting response",IF(AND(OR(N131="Yes",N131="Partial"),O131=""),"No detail: treat as unanswered",IF(AND(N131="Yes",R131=""),"No evidence link",IF(AND(S131="Gap",T131=""),"Gap needs owner and date in Comments","OK")))))</f>
        <v>Awaiting response</v>
      </c>
    </row>
    <row r="132" customFormat="false" ht="23.85" hidden="false" customHeight="false" outlineLevel="0" collapsed="false">
      <c r="A132" s="30" t="s">
        <v>946</v>
      </c>
      <c r="B132" s="31" t="s">
        <v>176</v>
      </c>
      <c r="C132" s="6" t="s">
        <v>147</v>
      </c>
      <c r="D132" s="6" t="s">
        <v>947</v>
      </c>
      <c r="E132" s="6" t="s">
        <v>948</v>
      </c>
      <c r="F132" s="6" t="s">
        <v>949</v>
      </c>
      <c r="G132" s="6" t="s">
        <v>950</v>
      </c>
      <c r="H132" s="6" t="s">
        <v>951</v>
      </c>
      <c r="I132" s="6" t="s">
        <v>322</v>
      </c>
      <c r="J132" s="6" t="s">
        <v>939</v>
      </c>
      <c r="K132" s="6" t="s">
        <v>135</v>
      </c>
      <c r="L132" s="31" t="s">
        <v>236</v>
      </c>
      <c r="M132" s="32" t="s">
        <v>185</v>
      </c>
      <c r="N132" s="33"/>
      <c r="O132" s="34"/>
      <c r="P132" s="34" t="s">
        <v>393</v>
      </c>
      <c r="Q132" s="6" t="s">
        <v>952</v>
      </c>
      <c r="R132" s="34"/>
      <c r="S132" s="31" t="s">
        <v>117</v>
      </c>
      <c r="T132" s="35"/>
      <c r="U132" s="29" t="str">
        <f aca="false">IF(B132&lt;&gt;"Y","Out of scope",IF(N132="","Awaiting response",IF(AND(OR(N132="Yes",N132="Partial"),O132=""),"No detail: treat as unanswered",IF(AND(N132="Yes",R132=""),"No evidence link",IF(AND(S132="Gap",T132=""),"Gap needs owner and date in Comments","OK")))))</f>
        <v>Awaiting response</v>
      </c>
    </row>
    <row r="133" customFormat="false" ht="35.05" hidden="false" customHeight="false" outlineLevel="0" collapsed="false">
      <c r="A133" s="30" t="s">
        <v>953</v>
      </c>
      <c r="B133" s="31" t="s">
        <v>176</v>
      </c>
      <c r="C133" s="6" t="s">
        <v>147</v>
      </c>
      <c r="D133" s="6" t="s">
        <v>954</v>
      </c>
      <c r="E133" s="6" t="s">
        <v>955</v>
      </c>
      <c r="F133" s="6" t="s">
        <v>692</v>
      </c>
      <c r="G133" s="6" t="s">
        <v>347</v>
      </c>
      <c r="H133" s="6" t="s">
        <v>614</v>
      </c>
      <c r="I133" s="6" t="s">
        <v>197</v>
      </c>
      <c r="J133" s="6" t="s">
        <v>197</v>
      </c>
      <c r="K133" s="6" t="s">
        <v>135</v>
      </c>
      <c r="L133" s="31" t="s">
        <v>236</v>
      </c>
      <c r="M133" s="32" t="s">
        <v>185</v>
      </c>
      <c r="N133" s="33"/>
      <c r="O133" s="34"/>
      <c r="P133" s="34" t="s">
        <v>198</v>
      </c>
      <c r="Q133" s="6" t="s">
        <v>956</v>
      </c>
      <c r="R133" s="34"/>
      <c r="S133" s="31" t="s">
        <v>117</v>
      </c>
      <c r="T133" s="35"/>
      <c r="U133" s="29" t="str">
        <f aca="false">IF(B133&lt;&gt;"Y","Out of scope",IF(N133="","Awaiting response",IF(AND(OR(N133="Yes",N133="Partial"),O133=""),"No detail: treat as unanswered",IF(AND(N133="Yes",R133=""),"No evidence link",IF(AND(S133="Gap",T133=""),"Gap needs owner and date in Comments","OK")))))</f>
        <v>Awaiting response</v>
      </c>
    </row>
    <row r="134" customFormat="false" ht="35.05" hidden="false" customHeight="false" outlineLevel="0" collapsed="false">
      <c r="A134" s="30" t="s">
        <v>957</v>
      </c>
      <c r="B134" s="31" t="s">
        <v>176</v>
      </c>
      <c r="C134" s="6" t="s">
        <v>147</v>
      </c>
      <c r="D134" s="6" t="s">
        <v>958</v>
      </c>
      <c r="E134" s="6" t="s">
        <v>959</v>
      </c>
      <c r="F134" s="6" t="s">
        <v>180</v>
      </c>
      <c r="G134" s="6" t="s">
        <v>960</v>
      </c>
      <c r="H134" s="6" t="s">
        <v>182</v>
      </c>
      <c r="I134" s="6" t="s">
        <v>183</v>
      </c>
      <c r="J134" s="6" t="s">
        <v>921</v>
      </c>
      <c r="K134" s="6" t="s">
        <v>135</v>
      </c>
      <c r="L134" s="31" t="s">
        <v>236</v>
      </c>
      <c r="M134" s="32" t="s">
        <v>185</v>
      </c>
      <c r="N134" s="33"/>
      <c r="O134" s="34"/>
      <c r="P134" s="34" t="s">
        <v>187</v>
      </c>
      <c r="Q134" s="6" t="s">
        <v>961</v>
      </c>
      <c r="R134" s="34"/>
      <c r="S134" s="31" t="s">
        <v>117</v>
      </c>
      <c r="T134" s="35"/>
      <c r="U134" s="29" t="str">
        <f aca="false">IF(B134&lt;&gt;"Y","Out of scope",IF(N134="","Awaiting response",IF(AND(OR(N134="Yes",N134="Partial"),O134=""),"No detail: treat as unanswered",IF(AND(N134="Yes",R134=""),"No evidence link",IF(AND(S134="Gap",T134=""),"Gap needs owner and date in Comments","OK")))))</f>
        <v>Awaiting response</v>
      </c>
    </row>
    <row r="135" customFormat="false" ht="46.25" hidden="false" customHeight="false" outlineLevel="0" collapsed="false">
      <c r="A135" s="30" t="s">
        <v>962</v>
      </c>
      <c r="B135" s="31" t="s">
        <v>176</v>
      </c>
      <c r="C135" s="6" t="s">
        <v>147</v>
      </c>
      <c r="D135" s="6" t="s">
        <v>963</v>
      </c>
      <c r="E135" s="6" t="s">
        <v>964</v>
      </c>
      <c r="F135" s="6" t="s">
        <v>692</v>
      </c>
      <c r="G135" s="6" t="s">
        <v>789</v>
      </c>
      <c r="H135" s="6" t="s">
        <v>550</v>
      </c>
      <c r="I135" s="6" t="s">
        <v>710</v>
      </c>
      <c r="J135" s="6" t="s">
        <v>790</v>
      </c>
      <c r="K135" s="6" t="s">
        <v>135</v>
      </c>
      <c r="L135" s="31" t="s">
        <v>236</v>
      </c>
      <c r="M135" s="32" t="s">
        <v>185</v>
      </c>
      <c r="N135" s="33"/>
      <c r="O135" s="34"/>
      <c r="P135" s="34" t="s">
        <v>393</v>
      </c>
      <c r="Q135" s="6" t="s">
        <v>965</v>
      </c>
      <c r="R135" s="34"/>
      <c r="S135" s="31" t="s">
        <v>117</v>
      </c>
      <c r="T135" s="35"/>
      <c r="U135" s="29" t="str">
        <f aca="false">IF(B135&lt;&gt;"Y","Out of scope",IF(N135="","Awaiting response",IF(AND(OR(N135="Yes",N135="Partial"),O135=""),"No detail: treat as unanswered",IF(AND(N135="Yes",R135=""),"No evidence link",IF(AND(S135="Gap",T135=""),"Gap needs owner and date in Comments","OK")))))</f>
        <v>Awaiting response</v>
      </c>
    </row>
    <row r="136" customFormat="false" ht="46.25" hidden="false" customHeight="false" outlineLevel="0" collapsed="false">
      <c r="A136" s="30" t="s">
        <v>966</v>
      </c>
      <c r="B136" s="31" t="s">
        <v>176</v>
      </c>
      <c r="C136" s="6" t="s">
        <v>147</v>
      </c>
      <c r="D136" s="6" t="s">
        <v>967</v>
      </c>
      <c r="E136" s="6" t="s">
        <v>968</v>
      </c>
      <c r="F136" s="6" t="s">
        <v>692</v>
      </c>
      <c r="G136" s="6" t="s">
        <v>969</v>
      </c>
      <c r="H136" s="6" t="s">
        <v>614</v>
      </c>
      <c r="I136" s="6" t="s">
        <v>970</v>
      </c>
      <c r="J136" s="6" t="s">
        <v>184</v>
      </c>
      <c r="K136" s="6" t="s">
        <v>135</v>
      </c>
      <c r="L136" s="31" t="s">
        <v>236</v>
      </c>
      <c r="M136" s="32" t="s">
        <v>185</v>
      </c>
      <c r="N136" s="33"/>
      <c r="O136" s="34"/>
      <c r="P136" s="34" t="s">
        <v>198</v>
      </c>
      <c r="Q136" s="6" t="s">
        <v>971</v>
      </c>
      <c r="R136" s="34"/>
      <c r="S136" s="31" t="s">
        <v>117</v>
      </c>
      <c r="T136" s="35"/>
      <c r="U136" s="29" t="str">
        <f aca="false">IF(B136&lt;&gt;"Y","Out of scope",IF(N136="","Awaiting response",IF(AND(OR(N136="Yes",N136="Partial"),O136=""),"No detail: treat as unanswered",IF(AND(N136="Yes",R136=""),"No evidence link",IF(AND(S136="Gap",T136=""),"Gap needs owner and date in Comments","OK")))))</f>
        <v>Awaiting response</v>
      </c>
    </row>
    <row r="137" customFormat="false" ht="35.05" hidden="false" customHeight="false" outlineLevel="0" collapsed="false">
      <c r="A137" s="30" t="s">
        <v>972</v>
      </c>
      <c r="B137" s="31" t="s">
        <v>176</v>
      </c>
      <c r="C137" s="6" t="s">
        <v>148</v>
      </c>
      <c r="D137" s="6" t="s">
        <v>973</v>
      </c>
      <c r="E137" s="6" t="s">
        <v>974</v>
      </c>
      <c r="F137" s="6" t="s">
        <v>975</v>
      </c>
      <c r="G137" s="6" t="s">
        <v>976</v>
      </c>
      <c r="H137" s="6" t="s">
        <v>977</v>
      </c>
      <c r="I137" s="6" t="s">
        <v>197</v>
      </c>
      <c r="J137" s="6" t="s">
        <v>939</v>
      </c>
      <c r="K137" s="6" t="s">
        <v>132</v>
      </c>
      <c r="L137" s="31" t="s">
        <v>176</v>
      </c>
      <c r="M137" s="32" t="s">
        <v>185</v>
      </c>
      <c r="N137" s="33"/>
      <c r="O137" s="34"/>
      <c r="P137" s="34" t="s">
        <v>978</v>
      </c>
      <c r="Q137" s="6" t="s">
        <v>979</v>
      </c>
      <c r="R137" s="34"/>
      <c r="S137" s="31" t="s">
        <v>117</v>
      </c>
      <c r="T137" s="35"/>
      <c r="U137" s="29" t="str">
        <f aca="false">IF(B137&lt;&gt;"Y","Out of scope",IF(N137="","Awaiting response",IF(AND(OR(N137="Yes",N137="Partial"),O137=""),"No detail: treat as unanswered",IF(AND(N137="Yes",R137=""),"No evidence link",IF(AND(S137="Gap",T137=""),"Gap needs owner and date in Comments","OK")))))</f>
        <v>Awaiting response</v>
      </c>
    </row>
    <row r="138" customFormat="false" ht="35.05" hidden="false" customHeight="false" outlineLevel="0" collapsed="false">
      <c r="A138" s="30" t="s">
        <v>980</v>
      </c>
      <c r="B138" s="31" t="s">
        <v>176</v>
      </c>
      <c r="C138" s="6" t="s">
        <v>148</v>
      </c>
      <c r="D138" s="6" t="s">
        <v>981</v>
      </c>
      <c r="E138" s="6" t="s">
        <v>982</v>
      </c>
      <c r="F138" s="6" t="s">
        <v>975</v>
      </c>
      <c r="G138" s="6" t="s">
        <v>983</v>
      </c>
      <c r="H138" s="6" t="s">
        <v>984</v>
      </c>
      <c r="I138" s="6" t="s">
        <v>322</v>
      </c>
      <c r="J138" s="6" t="s">
        <v>197</v>
      </c>
      <c r="K138" s="6" t="s">
        <v>133</v>
      </c>
      <c r="L138" s="31" t="s">
        <v>236</v>
      </c>
      <c r="M138" s="32" t="s">
        <v>185</v>
      </c>
      <c r="N138" s="33"/>
      <c r="O138" s="34"/>
      <c r="P138" s="34" t="s">
        <v>371</v>
      </c>
      <c r="Q138" s="6" t="s">
        <v>985</v>
      </c>
      <c r="R138" s="34"/>
      <c r="S138" s="31" t="s">
        <v>117</v>
      </c>
      <c r="T138" s="35"/>
      <c r="U138" s="29" t="str">
        <f aca="false">IF(B138&lt;&gt;"Y","Out of scope",IF(N138="","Awaiting response",IF(AND(OR(N138="Yes",N138="Partial"),O138=""),"No detail: treat as unanswered",IF(AND(N138="Yes",R138=""),"No evidence link",IF(AND(S138="Gap",T138=""),"Gap needs owner and date in Comments","OK")))))</f>
        <v>Awaiting response</v>
      </c>
    </row>
    <row r="139" customFormat="false" ht="35.05" hidden="false" customHeight="false" outlineLevel="0" collapsed="false">
      <c r="A139" s="30" t="s">
        <v>986</v>
      </c>
      <c r="B139" s="31" t="s">
        <v>176</v>
      </c>
      <c r="C139" s="6" t="s">
        <v>148</v>
      </c>
      <c r="D139" s="6" t="s">
        <v>987</v>
      </c>
      <c r="E139" s="6" t="s">
        <v>988</v>
      </c>
      <c r="F139" s="6" t="s">
        <v>975</v>
      </c>
      <c r="G139" s="6" t="s">
        <v>989</v>
      </c>
      <c r="H139" s="6" t="s">
        <v>990</v>
      </c>
      <c r="I139" s="6" t="s">
        <v>322</v>
      </c>
      <c r="J139" s="6" t="s">
        <v>939</v>
      </c>
      <c r="K139" s="6" t="s">
        <v>133</v>
      </c>
      <c r="L139" s="31" t="s">
        <v>236</v>
      </c>
      <c r="M139" s="32" t="s">
        <v>185</v>
      </c>
      <c r="N139" s="33"/>
      <c r="O139" s="34"/>
      <c r="P139" s="34" t="s">
        <v>978</v>
      </c>
      <c r="Q139" s="6" t="s">
        <v>991</v>
      </c>
      <c r="R139" s="34"/>
      <c r="S139" s="31" t="s">
        <v>117</v>
      </c>
      <c r="T139" s="35"/>
      <c r="U139" s="29" t="str">
        <f aca="false">IF(B139&lt;&gt;"Y","Out of scope",IF(N139="","Awaiting response",IF(AND(OR(N139="Yes",N139="Partial"),O139=""),"No detail: treat as unanswered",IF(AND(N139="Yes",R139=""),"No evidence link",IF(AND(S139="Gap",T139=""),"Gap needs owner and date in Comments","OK")))))</f>
        <v>Awaiting response</v>
      </c>
    </row>
    <row r="140" customFormat="false" ht="35.05" hidden="false" customHeight="false" outlineLevel="0" collapsed="false">
      <c r="A140" s="30" t="s">
        <v>992</v>
      </c>
      <c r="B140" s="31" t="s">
        <v>176</v>
      </c>
      <c r="C140" s="6" t="s">
        <v>148</v>
      </c>
      <c r="D140" s="6" t="s">
        <v>993</v>
      </c>
      <c r="E140" s="6" t="s">
        <v>994</v>
      </c>
      <c r="F140" s="6" t="s">
        <v>995</v>
      </c>
      <c r="G140" s="6" t="s">
        <v>996</v>
      </c>
      <c r="H140" s="6" t="s">
        <v>674</v>
      </c>
      <c r="I140" s="6" t="s">
        <v>322</v>
      </c>
      <c r="J140" s="6" t="s">
        <v>197</v>
      </c>
      <c r="K140" s="6" t="s">
        <v>132</v>
      </c>
      <c r="L140" s="31" t="s">
        <v>176</v>
      </c>
      <c r="M140" s="32" t="s">
        <v>185</v>
      </c>
      <c r="N140" s="33"/>
      <c r="O140" s="34"/>
      <c r="P140" s="34" t="s">
        <v>371</v>
      </c>
      <c r="Q140" s="6" t="s">
        <v>997</v>
      </c>
      <c r="R140" s="34"/>
      <c r="S140" s="31" t="s">
        <v>117</v>
      </c>
      <c r="T140" s="35"/>
      <c r="U140" s="29" t="str">
        <f aca="false">IF(B140&lt;&gt;"Y","Out of scope",IF(N140="","Awaiting response",IF(AND(OR(N140="Yes",N140="Partial"),O140=""),"No detail: treat as unanswered",IF(AND(N140="Yes",R140=""),"No evidence link",IF(AND(S140="Gap",T140=""),"Gap needs owner and date in Comments","OK")))))</f>
        <v>Awaiting response</v>
      </c>
    </row>
    <row r="141" customFormat="false" ht="35.05" hidden="false" customHeight="false" outlineLevel="0" collapsed="false">
      <c r="A141" s="30" t="s">
        <v>998</v>
      </c>
      <c r="B141" s="31" t="s">
        <v>176</v>
      </c>
      <c r="C141" s="6" t="s">
        <v>148</v>
      </c>
      <c r="D141" s="6" t="s">
        <v>999</v>
      </c>
      <c r="E141" s="6" t="s">
        <v>1000</v>
      </c>
      <c r="F141" s="6" t="s">
        <v>729</v>
      </c>
      <c r="G141" s="6" t="s">
        <v>730</v>
      </c>
      <c r="H141" s="6" t="s">
        <v>723</v>
      </c>
      <c r="I141" s="6" t="s">
        <v>710</v>
      </c>
      <c r="J141" s="6" t="s">
        <v>732</v>
      </c>
      <c r="K141" s="6" t="s">
        <v>132</v>
      </c>
      <c r="L141" s="31" t="s">
        <v>176</v>
      </c>
      <c r="M141" s="32" t="s">
        <v>185</v>
      </c>
      <c r="N141" s="33"/>
      <c r="O141" s="34"/>
      <c r="P141" s="34" t="s">
        <v>257</v>
      </c>
      <c r="Q141" s="6" t="s">
        <v>1001</v>
      </c>
      <c r="R141" s="34"/>
      <c r="S141" s="31" t="s">
        <v>117</v>
      </c>
      <c r="T141" s="35"/>
      <c r="U141" s="29" t="str">
        <f aca="false">IF(B141&lt;&gt;"Y","Out of scope",IF(N141="","Awaiting response",IF(AND(OR(N141="Yes",N141="Partial"),O141=""),"No detail: treat as unanswered",IF(AND(N141="Yes",R141=""),"No evidence link",IF(AND(S141="Gap",T141=""),"Gap needs owner and date in Comments","OK")))))</f>
        <v>Awaiting response</v>
      </c>
    </row>
    <row r="142" customFormat="false" ht="35.05" hidden="false" customHeight="false" outlineLevel="0" collapsed="false">
      <c r="A142" s="30" t="s">
        <v>1002</v>
      </c>
      <c r="B142" s="31" t="s">
        <v>176</v>
      </c>
      <c r="C142" s="6" t="s">
        <v>148</v>
      </c>
      <c r="D142" s="6" t="s">
        <v>1003</v>
      </c>
      <c r="E142" s="6" t="s">
        <v>1004</v>
      </c>
      <c r="F142" s="6" t="s">
        <v>1005</v>
      </c>
      <c r="G142" s="6" t="s">
        <v>1006</v>
      </c>
      <c r="H142" s="6" t="s">
        <v>1007</v>
      </c>
      <c r="I142" s="6" t="s">
        <v>322</v>
      </c>
      <c r="J142" s="6" t="s">
        <v>457</v>
      </c>
      <c r="K142" s="6" t="s">
        <v>132</v>
      </c>
      <c r="L142" s="31" t="s">
        <v>236</v>
      </c>
      <c r="M142" s="32" t="s">
        <v>185</v>
      </c>
      <c r="N142" s="33"/>
      <c r="O142" s="34"/>
      <c r="P142" s="34" t="s">
        <v>257</v>
      </c>
      <c r="Q142" s="6" t="s">
        <v>1008</v>
      </c>
      <c r="R142" s="34"/>
      <c r="S142" s="31" t="s">
        <v>117</v>
      </c>
      <c r="T142" s="35"/>
      <c r="U142" s="29" t="str">
        <f aca="false">IF(B142&lt;&gt;"Y","Out of scope",IF(N142="","Awaiting response",IF(AND(OR(N142="Yes",N142="Partial"),O142=""),"No detail: treat as unanswered",IF(AND(N142="Yes",R142=""),"No evidence link",IF(AND(S142="Gap",T142=""),"Gap needs owner and date in Comments","OK")))))</f>
        <v>Awaiting response</v>
      </c>
    </row>
    <row r="143" customFormat="false" ht="35.05" hidden="false" customHeight="false" outlineLevel="0" collapsed="false">
      <c r="A143" s="30" t="s">
        <v>1009</v>
      </c>
      <c r="B143" s="31" t="s">
        <v>176</v>
      </c>
      <c r="C143" s="6" t="s">
        <v>148</v>
      </c>
      <c r="D143" s="6" t="s">
        <v>1010</v>
      </c>
      <c r="E143" s="6" t="s">
        <v>1011</v>
      </c>
      <c r="F143" s="6" t="s">
        <v>1012</v>
      </c>
      <c r="G143" s="6" t="s">
        <v>1013</v>
      </c>
      <c r="H143" s="6" t="s">
        <v>1014</v>
      </c>
      <c r="I143" s="6" t="s">
        <v>197</v>
      </c>
      <c r="J143" s="6" t="s">
        <v>197</v>
      </c>
      <c r="K143" s="6" t="s">
        <v>132</v>
      </c>
      <c r="L143" s="31" t="s">
        <v>236</v>
      </c>
      <c r="M143" s="32" t="s">
        <v>185</v>
      </c>
      <c r="N143" s="33"/>
      <c r="O143" s="34"/>
      <c r="P143" s="34" t="s">
        <v>198</v>
      </c>
      <c r="Q143" s="6" t="s">
        <v>1015</v>
      </c>
      <c r="R143" s="34"/>
      <c r="S143" s="31" t="s">
        <v>117</v>
      </c>
      <c r="T143" s="35"/>
      <c r="U143" s="29" t="str">
        <f aca="false">IF(B143&lt;&gt;"Y","Out of scope",IF(N143="","Awaiting response",IF(AND(OR(N143="Yes",N143="Partial"),O143=""),"No detail: treat as unanswered",IF(AND(N143="Yes",R143=""),"No evidence link",IF(AND(S143="Gap",T143=""),"Gap needs owner and date in Comments","OK")))))</f>
        <v>Awaiting response</v>
      </c>
    </row>
    <row r="144" customFormat="false" ht="35.05" hidden="false" customHeight="false" outlineLevel="0" collapsed="false">
      <c r="A144" s="30" t="s">
        <v>1016</v>
      </c>
      <c r="B144" s="31" t="s">
        <v>176</v>
      </c>
      <c r="C144" s="6" t="s">
        <v>148</v>
      </c>
      <c r="D144" s="6" t="s">
        <v>1017</v>
      </c>
      <c r="E144" s="6" t="s">
        <v>1018</v>
      </c>
      <c r="F144" s="6" t="s">
        <v>1019</v>
      </c>
      <c r="G144" s="6" t="s">
        <v>1020</v>
      </c>
      <c r="H144" s="6" t="s">
        <v>1021</v>
      </c>
      <c r="I144" s="6" t="s">
        <v>322</v>
      </c>
      <c r="J144" s="6" t="s">
        <v>1022</v>
      </c>
      <c r="K144" s="6" t="s">
        <v>132</v>
      </c>
      <c r="L144" s="31" t="s">
        <v>176</v>
      </c>
      <c r="M144" s="32" t="s">
        <v>185</v>
      </c>
      <c r="N144" s="33"/>
      <c r="O144" s="34"/>
      <c r="P144" s="34" t="s">
        <v>978</v>
      </c>
      <c r="Q144" s="6" t="s">
        <v>1023</v>
      </c>
      <c r="R144" s="34"/>
      <c r="S144" s="31" t="s">
        <v>117</v>
      </c>
      <c r="T144" s="35"/>
      <c r="U144" s="29" t="str">
        <f aca="false">IF(B144&lt;&gt;"Y","Out of scope",IF(N144="","Awaiting response",IF(AND(OR(N144="Yes",N144="Partial"),O144=""),"No detail: treat as unanswered",IF(AND(N144="Yes",R144=""),"No evidence link",IF(AND(S144="Gap",T144=""),"Gap needs owner and date in Comments","OK")))))</f>
        <v>Awaiting response</v>
      </c>
    </row>
    <row r="145" customFormat="false" ht="35.05" hidden="false" customHeight="false" outlineLevel="0" collapsed="false">
      <c r="A145" s="30" t="s">
        <v>1024</v>
      </c>
      <c r="B145" s="31" t="s">
        <v>176</v>
      </c>
      <c r="C145" s="6" t="s">
        <v>148</v>
      </c>
      <c r="D145" s="6" t="s">
        <v>1025</v>
      </c>
      <c r="E145" s="6" t="s">
        <v>1026</v>
      </c>
      <c r="F145" s="6" t="s">
        <v>1027</v>
      </c>
      <c r="G145" s="6" t="s">
        <v>1028</v>
      </c>
      <c r="H145" s="6" t="s">
        <v>1029</v>
      </c>
      <c r="I145" s="6" t="s">
        <v>710</v>
      </c>
      <c r="J145" s="6" t="s">
        <v>732</v>
      </c>
      <c r="K145" s="6" t="s">
        <v>133</v>
      </c>
      <c r="L145" s="31" t="s">
        <v>176</v>
      </c>
      <c r="M145" s="32" t="s">
        <v>185</v>
      </c>
      <c r="N145" s="33"/>
      <c r="O145" s="34"/>
      <c r="P145" s="34" t="s">
        <v>198</v>
      </c>
      <c r="Q145" s="6" t="s">
        <v>1030</v>
      </c>
      <c r="R145" s="34"/>
      <c r="S145" s="31" t="s">
        <v>117</v>
      </c>
      <c r="T145" s="35"/>
      <c r="U145" s="29" t="str">
        <f aca="false">IF(B145&lt;&gt;"Y","Out of scope",IF(N145="","Awaiting response",IF(AND(OR(N145="Yes",N145="Partial"),O145=""),"No detail: treat as unanswered",IF(AND(N145="Yes",R145=""),"No evidence link",IF(AND(S145="Gap",T145=""),"Gap needs owner and date in Comments","OK")))))</f>
        <v>Awaiting response</v>
      </c>
    </row>
    <row r="146" customFormat="false" ht="35.05" hidden="false" customHeight="false" outlineLevel="0" collapsed="false">
      <c r="A146" s="30" t="s">
        <v>1031</v>
      </c>
      <c r="B146" s="31" t="s">
        <v>176</v>
      </c>
      <c r="C146" s="6" t="s">
        <v>148</v>
      </c>
      <c r="D146" s="6" t="s">
        <v>1032</v>
      </c>
      <c r="E146" s="6" t="s">
        <v>1033</v>
      </c>
      <c r="F146" s="6" t="s">
        <v>949</v>
      </c>
      <c r="G146" s="6" t="s">
        <v>1034</v>
      </c>
      <c r="H146" s="6" t="s">
        <v>1035</v>
      </c>
      <c r="I146" s="6" t="s">
        <v>197</v>
      </c>
      <c r="J146" s="6" t="s">
        <v>197</v>
      </c>
      <c r="K146" s="6" t="s">
        <v>135</v>
      </c>
      <c r="L146" s="31" t="s">
        <v>236</v>
      </c>
      <c r="M146" s="32" t="s">
        <v>185</v>
      </c>
      <c r="N146" s="33"/>
      <c r="O146" s="34"/>
      <c r="P146" s="34" t="s">
        <v>198</v>
      </c>
      <c r="Q146" s="6" t="s">
        <v>1036</v>
      </c>
      <c r="R146" s="34"/>
      <c r="S146" s="31" t="s">
        <v>117</v>
      </c>
      <c r="T146" s="35"/>
      <c r="U146" s="29" t="str">
        <f aca="false">IF(B146&lt;&gt;"Y","Out of scope",IF(N146="","Awaiting response",IF(AND(OR(N146="Yes",N146="Partial"),O146=""),"No detail: treat as unanswered",IF(AND(N146="Yes",R146=""),"No evidence link",IF(AND(S146="Gap",T146=""),"Gap needs owner and date in Comments","OK")))))</f>
        <v>Awaiting response</v>
      </c>
    </row>
    <row r="147" customFormat="false" ht="46.25" hidden="false" customHeight="false" outlineLevel="0" collapsed="false">
      <c r="A147" s="30" t="s">
        <v>1037</v>
      </c>
      <c r="B147" s="31" t="s">
        <v>176</v>
      </c>
      <c r="C147" s="6" t="s">
        <v>149</v>
      </c>
      <c r="D147" s="6" t="s">
        <v>1038</v>
      </c>
      <c r="E147" s="6" t="s">
        <v>1039</v>
      </c>
      <c r="F147" s="6" t="s">
        <v>1040</v>
      </c>
      <c r="G147" s="6" t="s">
        <v>1041</v>
      </c>
      <c r="H147" s="6" t="s">
        <v>608</v>
      </c>
      <c r="I147" s="6" t="s">
        <v>667</v>
      </c>
      <c r="J147" s="6" t="s">
        <v>1042</v>
      </c>
      <c r="K147" s="6" t="s">
        <v>132</v>
      </c>
      <c r="L147" s="31" t="s">
        <v>176</v>
      </c>
      <c r="M147" s="32" t="s">
        <v>185</v>
      </c>
      <c r="N147" s="33"/>
      <c r="O147" s="34"/>
      <c r="P147" s="34" t="s">
        <v>198</v>
      </c>
      <c r="Q147" s="6" t="s">
        <v>1043</v>
      </c>
      <c r="R147" s="34"/>
      <c r="S147" s="31" t="s">
        <v>117</v>
      </c>
      <c r="T147" s="35"/>
      <c r="U147" s="29" t="str">
        <f aca="false">IF(B147&lt;&gt;"Y","Out of scope",IF(N147="","Awaiting response",IF(AND(OR(N147="Yes",N147="Partial"),O147=""),"No detail: treat as unanswered",IF(AND(N147="Yes",R147=""),"No evidence link",IF(AND(S147="Gap",T147=""),"Gap needs owner and date in Comments","OK")))))</f>
        <v>Awaiting response</v>
      </c>
    </row>
    <row r="148" customFormat="false" ht="35.05" hidden="false" customHeight="false" outlineLevel="0" collapsed="false">
      <c r="A148" s="30" t="s">
        <v>1044</v>
      </c>
      <c r="B148" s="31" t="s">
        <v>176</v>
      </c>
      <c r="C148" s="6" t="s">
        <v>149</v>
      </c>
      <c r="D148" s="6" t="s">
        <v>1045</v>
      </c>
      <c r="E148" s="6" t="s">
        <v>1046</v>
      </c>
      <c r="F148" s="6" t="s">
        <v>1040</v>
      </c>
      <c r="G148" s="6" t="s">
        <v>1047</v>
      </c>
      <c r="H148" s="6" t="s">
        <v>1048</v>
      </c>
      <c r="I148" s="6" t="s">
        <v>322</v>
      </c>
      <c r="J148" s="6" t="s">
        <v>518</v>
      </c>
      <c r="K148" s="6" t="s">
        <v>132</v>
      </c>
      <c r="L148" s="31" t="s">
        <v>176</v>
      </c>
      <c r="M148" s="32" t="s">
        <v>185</v>
      </c>
      <c r="N148" s="33"/>
      <c r="O148" s="34"/>
      <c r="P148" s="34" t="s">
        <v>198</v>
      </c>
      <c r="Q148" s="6" t="s">
        <v>1049</v>
      </c>
      <c r="R148" s="34"/>
      <c r="S148" s="31" t="s">
        <v>117</v>
      </c>
      <c r="T148" s="35"/>
      <c r="U148" s="29" t="str">
        <f aca="false">IF(B148&lt;&gt;"Y","Out of scope",IF(N148="","Awaiting response",IF(AND(OR(N148="Yes",N148="Partial"),O148=""),"No detail: treat as unanswered",IF(AND(N148="Yes",R148=""),"No evidence link",IF(AND(S148="Gap",T148=""),"Gap needs owner and date in Comments","OK")))))</f>
        <v>Awaiting response</v>
      </c>
    </row>
    <row r="149" customFormat="false" ht="23.85" hidden="false" customHeight="false" outlineLevel="0" collapsed="false">
      <c r="A149" s="30" t="s">
        <v>1050</v>
      </c>
      <c r="B149" s="31" t="s">
        <v>176</v>
      </c>
      <c r="C149" s="6" t="s">
        <v>149</v>
      </c>
      <c r="D149" s="6" t="s">
        <v>1051</v>
      </c>
      <c r="E149" s="6" t="s">
        <v>1052</v>
      </c>
      <c r="F149" s="6" t="s">
        <v>1040</v>
      </c>
      <c r="G149" s="6" t="s">
        <v>607</v>
      </c>
      <c r="H149" s="6" t="s">
        <v>608</v>
      </c>
      <c r="I149" s="6" t="s">
        <v>197</v>
      </c>
      <c r="J149" s="6" t="s">
        <v>197</v>
      </c>
      <c r="K149" s="6" t="s">
        <v>135</v>
      </c>
      <c r="L149" s="31" t="s">
        <v>236</v>
      </c>
      <c r="M149" s="32" t="s">
        <v>185</v>
      </c>
      <c r="N149" s="33"/>
      <c r="O149" s="34"/>
      <c r="P149" s="34" t="s">
        <v>198</v>
      </c>
      <c r="Q149" s="6" t="s">
        <v>1053</v>
      </c>
      <c r="R149" s="34"/>
      <c r="S149" s="31" t="s">
        <v>117</v>
      </c>
      <c r="T149" s="35"/>
      <c r="U149" s="29" t="str">
        <f aca="false">IF(B149&lt;&gt;"Y","Out of scope",IF(N149="","Awaiting response",IF(AND(OR(N149="Yes",N149="Partial"),O149=""),"No detail: treat as unanswered",IF(AND(N149="Yes",R149=""),"No evidence link",IF(AND(S149="Gap",T149=""),"Gap needs owner and date in Comments","OK")))))</f>
        <v>Awaiting response</v>
      </c>
    </row>
    <row r="150" customFormat="false" ht="35.05" hidden="false" customHeight="false" outlineLevel="0" collapsed="false">
      <c r="A150" s="30" t="s">
        <v>1054</v>
      </c>
      <c r="B150" s="31" t="s">
        <v>176</v>
      </c>
      <c r="C150" s="6" t="s">
        <v>149</v>
      </c>
      <c r="D150" s="6" t="s">
        <v>1055</v>
      </c>
      <c r="E150" s="6" t="s">
        <v>1056</v>
      </c>
      <c r="F150" s="6" t="s">
        <v>1057</v>
      </c>
      <c r="G150" s="6" t="s">
        <v>1058</v>
      </c>
      <c r="H150" s="6" t="s">
        <v>608</v>
      </c>
      <c r="I150" s="6" t="s">
        <v>197</v>
      </c>
      <c r="J150" s="6" t="s">
        <v>197</v>
      </c>
      <c r="K150" s="6" t="s">
        <v>132</v>
      </c>
      <c r="L150" s="31" t="s">
        <v>176</v>
      </c>
      <c r="M150" s="32" t="s">
        <v>278</v>
      </c>
      <c r="N150" s="33"/>
      <c r="O150" s="34"/>
      <c r="P150" s="34" t="s">
        <v>272</v>
      </c>
      <c r="Q150" s="6" t="s">
        <v>1059</v>
      </c>
      <c r="R150" s="34"/>
      <c r="S150" s="31" t="s">
        <v>117</v>
      </c>
      <c r="T150" s="35"/>
      <c r="U150" s="29" t="str">
        <f aca="false">IF(B150&lt;&gt;"Y","Out of scope",IF(N150="","Awaiting response",IF(AND(OR(N150="Yes",N150="Partial"),O150=""),"No detail: treat as unanswered",IF(AND(N150="Yes",R150=""),"No evidence link",IF(AND(S150="Gap",T150=""),"Gap needs owner and date in Comments","OK")))))</f>
        <v>Awaiting response</v>
      </c>
    </row>
    <row r="151" customFormat="false" ht="35.05" hidden="false" customHeight="false" outlineLevel="0" collapsed="false">
      <c r="A151" s="30" t="s">
        <v>1060</v>
      </c>
      <c r="B151" s="31" t="s">
        <v>176</v>
      </c>
      <c r="C151" s="6" t="s">
        <v>149</v>
      </c>
      <c r="D151" s="6" t="s">
        <v>1061</v>
      </c>
      <c r="E151" s="6" t="s">
        <v>1062</v>
      </c>
      <c r="F151" s="6" t="s">
        <v>692</v>
      </c>
      <c r="G151" s="6" t="s">
        <v>789</v>
      </c>
      <c r="H151" s="6" t="s">
        <v>550</v>
      </c>
      <c r="I151" s="6" t="s">
        <v>197</v>
      </c>
      <c r="J151" s="6" t="s">
        <v>567</v>
      </c>
      <c r="K151" s="6" t="s">
        <v>135</v>
      </c>
      <c r="L151" s="31" t="s">
        <v>176</v>
      </c>
      <c r="M151" s="32" t="s">
        <v>185</v>
      </c>
      <c r="N151" s="33"/>
      <c r="O151" s="34"/>
      <c r="P151" s="34" t="s">
        <v>187</v>
      </c>
      <c r="Q151" s="6" t="s">
        <v>1063</v>
      </c>
      <c r="R151" s="34"/>
      <c r="S151" s="31" t="s">
        <v>117</v>
      </c>
      <c r="T151" s="35"/>
      <c r="U151" s="29" t="str">
        <f aca="false">IF(B151&lt;&gt;"Y","Out of scope",IF(N151="","Awaiting response",IF(AND(OR(N151="Yes",N151="Partial"),O151=""),"No detail: treat as unanswered",IF(AND(N151="Yes",R151=""),"No evidence link",IF(AND(S151="Gap",T151=""),"Gap needs owner and date in Comments","OK")))))</f>
        <v>Awaiting response</v>
      </c>
    </row>
    <row r="152" customFormat="false" ht="35.05" hidden="false" customHeight="false" outlineLevel="0" collapsed="false">
      <c r="A152" s="30" t="s">
        <v>1064</v>
      </c>
      <c r="B152" s="31" t="s">
        <v>176</v>
      </c>
      <c r="C152" s="6" t="s">
        <v>149</v>
      </c>
      <c r="D152" s="6" t="s">
        <v>1065</v>
      </c>
      <c r="E152" s="6" t="s">
        <v>1066</v>
      </c>
      <c r="F152" s="6" t="s">
        <v>1040</v>
      </c>
      <c r="G152" s="6" t="s">
        <v>1067</v>
      </c>
      <c r="H152" s="6" t="s">
        <v>550</v>
      </c>
      <c r="I152" s="6" t="s">
        <v>197</v>
      </c>
      <c r="J152" s="6" t="s">
        <v>197</v>
      </c>
      <c r="K152" s="6" t="s">
        <v>135</v>
      </c>
      <c r="L152" s="31" t="s">
        <v>236</v>
      </c>
      <c r="M152" s="32" t="s">
        <v>185</v>
      </c>
      <c r="N152" s="33"/>
      <c r="O152" s="34"/>
      <c r="P152" s="34" t="s">
        <v>198</v>
      </c>
      <c r="Q152" s="6" t="s">
        <v>1068</v>
      </c>
      <c r="R152" s="34"/>
      <c r="S152" s="31" t="s">
        <v>117</v>
      </c>
      <c r="T152" s="35"/>
      <c r="U152" s="29" t="str">
        <f aca="false">IF(B152&lt;&gt;"Y","Out of scope",IF(N152="","Awaiting response",IF(AND(OR(N152="Yes",N152="Partial"),O152=""),"No detail: treat as unanswered",IF(AND(N152="Yes",R152=""),"No evidence link",IF(AND(S152="Gap",T152=""),"Gap needs owner and date in Comments","OK")))))</f>
        <v>Awaiting response</v>
      </c>
    </row>
    <row r="153" customFormat="false" ht="35.05" hidden="false" customHeight="false" outlineLevel="0" collapsed="false">
      <c r="A153" s="30" t="s">
        <v>1069</v>
      </c>
      <c r="B153" s="31" t="s">
        <v>176</v>
      </c>
      <c r="C153" s="6" t="s">
        <v>149</v>
      </c>
      <c r="D153" s="6" t="s">
        <v>1070</v>
      </c>
      <c r="E153" s="6" t="s">
        <v>1071</v>
      </c>
      <c r="F153" s="6" t="s">
        <v>1040</v>
      </c>
      <c r="G153" s="6" t="s">
        <v>1072</v>
      </c>
      <c r="H153" s="6" t="s">
        <v>256</v>
      </c>
      <c r="I153" s="6" t="s">
        <v>197</v>
      </c>
      <c r="J153" s="6" t="s">
        <v>197</v>
      </c>
      <c r="K153" s="6" t="s">
        <v>135</v>
      </c>
      <c r="L153" s="31" t="s">
        <v>236</v>
      </c>
      <c r="M153" s="32" t="s">
        <v>185</v>
      </c>
      <c r="N153" s="33"/>
      <c r="O153" s="34"/>
      <c r="P153" s="34" t="s">
        <v>187</v>
      </c>
      <c r="Q153" s="6" t="s">
        <v>1073</v>
      </c>
      <c r="R153" s="34"/>
      <c r="S153" s="31" t="s">
        <v>117</v>
      </c>
      <c r="T153" s="35"/>
      <c r="U153" s="29" t="str">
        <f aca="false">IF(B153&lt;&gt;"Y","Out of scope",IF(N153="","Awaiting response",IF(AND(OR(N153="Yes",N153="Partial"),O153=""),"No detail: treat as unanswered",IF(AND(N153="Yes",R153=""),"No evidence link",IF(AND(S153="Gap",T153=""),"Gap needs owner and date in Comments","OK")))))</f>
        <v>Awaiting response</v>
      </c>
    </row>
    <row r="154" customFormat="false" ht="35.05" hidden="false" customHeight="false" outlineLevel="0" collapsed="false">
      <c r="A154" s="30" t="s">
        <v>1074</v>
      </c>
      <c r="B154" s="31" t="s">
        <v>176</v>
      </c>
      <c r="C154" s="6" t="s">
        <v>149</v>
      </c>
      <c r="D154" s="6" t="s">
        <v>1075</v>
      </c>
      <c r="E154" s="6" t="s">
        <v>1076</v>
      </c>
      <c r="F154" s="6" t="s">
        <v>781</v>
      </c>
      <c r="G154" s="6" t="s">
        <v>693</v>
      </c>
      <c r="H154" s="6" t="s">
        <v>782</v>
      </c>
      <c r="I154" s="6" t="s">
        <v>197</v>
      </c>
      <c r="J154" s="6" t="s">
        <v>783</v>
      </c>
      <c r="K154" s="6" t="s">
        <v>135</v>
      </c>
      <c r="L154" s="31" t="s">
        <v>176</v>
      </c>
      <c r="M154" s="32" t="s">
        <v>185</v>
      </c>
      <c r="N154" s="33"/>
      <c r="O154" s="34"/>
      <c r="P154" s="34" t="s">
        <v>784</v>
      </c>
      <c r="Q154" s="6" t="s">
        <v>1077</v>
      </c>
      <c r="R154" s="34"/>
      <c r="S154" s="31" t="s">
        <v>117</v>
      </c>
      <c r="T154" s="35"/>
      <c r="U154" s="29" t="str">
        <f aca="false">IF(B154&lt;&gt;"Y","Out of scope",IF(N154="","Awaiting response",IF(AND(OR(N154="Yes",N154="Partial"),O154=""),"No detail: treat as unanswered",IF(AND(N154="Yes",R154=""),"No evidence link",IF(AND(S154="Gap",T154=""),"Gap needs owner and date in Comments","OK")))))</f>
        <v>Awaiting response</v>
      </c>
    </row>
    <row r="155" customFormat="false" ht="35.05" hidden="false" customHeight="false" outlineLevel="0" collapsed="false">
      <c r="A155" s="30" t="s">
        <v>1078</v>
      </c>
      <c r="B155" s="31" t="s">
        <v>176</v>
      </c>
      <c r="C155" s="6" t="s">
        <v>150</v>
      </c>
      <c r="D155" s="6" t="s">
        <v>1079</v>
      </c>
      <c r="E155" s="6" t="s">
        <v>1080</v>
      </c>
      <c r="F155" s="6" t="s">
        <v>692</v>
      </c>
      <c r="G155" s="6" t="s">
        <v>347</v>
      </c>
      <c r="H155" s="6" t="s">
        <v>537</v>
      </c>
      <c r="I155" s="6" t="s">
        <v>271</v>
      </c>
      <c r="J155" s="6" t="s">
        <v>184</v>
      </c>
      <c r="K155" s="6" t="s">
        <v>135</v>
      </c>
      <c r="L155" s="31" t="s">
        <v>176</v>
      </c>
      <c r="M155" s="32" t="s">
        <v>185</v>
      </c>
      <c r="N155" s="33"/>
      <c r="O155" s="34"/>
      <c r="P155" s="34" t="s">
        <v>198</v>
      </c>
      <c r="Q155" s="6" t="s">
        <v>1081</v>
      </c>
      <c r="R155" s="34"/>
      <c r="S155" s="31" t="s">
        <v>117</v>
      </c>
      <c r="T155" s="35"/>
      <c r="U155" s="29" t="str">
        <f aca="false">IF(B155&lt;&gt;"Y","Out of scope",IF(N155="","Awaiting response",IF(AND(OR(N155="Yes",N155="Partial"),O155=""),"No detail: treat as unanswered",IF(AND(N155="Yes",R155=""),"No evidence link",IF(AND(S155="Gap",T155=""),"Gap needs owner and date in Comments","OK")))))</f>
        <v>Awaiting response</v>
      </c>
    </row>
    <row r="156" customFormat="false" ht="35.05" hidden="false" customHeight="false" outlineLevel="0" collapsed="false">
      <c r="A156" s="30" t="s">
        <v>1082</v>
      </c>
      <c r="B156" s="31" t="s">
        <v>176</v>
      </c>
      <c r="C156" s="6" t="s">
        <v>150</v>
      </c>
      <c r="D156" s="6" t="s">
        <v>1083</v>
      </c>
      <c r="E156" s="6" t="s">
        <v>1084</v>
      </c>
      <c r="F156" s="6" t="s">
        <v>529</v>
      </c>
      <c r="G156" s="6" t="s">
        <v>476</v>
      </c>
      <c r="H156" s="6" t="s">
        <v>531</v>
      </c>
      <c r="I156" s="6" t="s">
        <v>633</v>
      </c>
      <c r="J156" s="6" t="s">
        <v>783</v>
      </c>
      <c r="K156" s="6" t="s">
        <v>133</v>
      </c>
      <c r="L156" s="31" t="s">
        <v>176</v>
      </c>
      <c r="M156" s="32" t="s">
        <v>185</v>
      </c>
      <c r="N156" s="33"/>
      <c r="O156" s="34"/>
      <c r="P156" s="34" t="s">
        <v>634</v>
      </c>
      <c r="Q156" s="6" t="s">
        <v>1085</v>
      </c>
      <c r="R156" s="34"/>
      <c r="S156" s="31" t="s">
        <v>117</v>
      </c>
      <c r="T156" s="35"/>
      <c r="U156" s="29" t="str">
        <f aca="false">IF(B156&lt;&gt;"Y","Out of scope",IF(N156="","Awaiting response",IF(AND(OR(N156="Yes",N156="Partial"),O156=""),"No detail: treat as unanswered",IF(AND(N156="Yes",R156=""),"No evidence link",IF(AND(S156="Gap",T156=""),"Gap needs owner and date in Comments","OK")))))</f>
        <v>Awaiting response</v>
      </c>
    </row>
    <row r="157" customFormat="false" ht="35.05" hidden="false" customHeight="false" outlineLevel="0" collapsed="false">
      <c r="A157" s="30" t="s">
        <v>1086</v>
      </c>
      <c r="B157" s="31" t="s">
        <v>176</v>
      </c>
      <c r="C157" s="6" t="s">
        <v>150</v>
      </c>
      <c r="D157" s="6" t="s">
        <v>1087</v>
      </c>
      <c r="E157" s="6" t="s">
        <v>1088</v>
      </c>
      <c r="F157" s="6" t="s">
        <v>886</v>
      </c>
      <c r="G157" s="6" t="s">
        <v>436</v>
      </c>
      <c r="H157" s="6" t="s">
        <v>400</v>
      </c>
      <c r="I157" s="6" t="s">
        <v>197</v>
      </c>
      <c r="J157" s="6" t="s">
        <v>197</v>
      </c>
      <c r="K157" s="6" t="s">
        <v>134</v>
      </c>
      <c r="L157" s="31" t="s">
        <v>176</v>
      </c>
      <c r="M157" s="32" t="s">
        <v>185</v>
      </c>
      <c r="N157" s="33"/>
      <c r="O157" s="34"/>
      <c r="P157" s="34" t="s">
        <v>492</v>
      </c>
      <c r="Q157" s="6" t="s">
        <v>1089</v>
      </c>
      <c r="R157" s="34"/>
      <c r="S157" s="31" t="s">
        <v>117</v>
      </c>
      <c r="T157" s="35"/>
      <c r="U157" s="29" t="str">
        <f aca="false">IF(B157&lt;&gt;"Y","Out of scope",IF(N157="","Awaiting response",IF(AND(OR(N157="Yes",N157="Partial"),O157=""),"No detail: treat as unanswered",IF(AND(N157="Yes",R157=""),"No evidence link",IF(AND(S157="Gap",T157=""),"Gap needs owner and date in Comments","OK")))))</f>
        <v>Awaiting response</v>
      </c>
    </row>
    <row r="158" customFormat="false" ht="35.05" hidden="false" customHeight="false" outlineLevel="0" collapsed="false">
      <c r="A158" s="30" t="s">
        <v>1090</v>
      </c>
      <c r="B158" s="31" t="s">
        <v>176</v>
      </c>
      <c r="C158" s="6" t="s">
        <v>150</v>
      </c>
      <c r="D158" s="6" t="s">
        <v>1091</v>
      </c>
      <c r="E158" s="6" t="s">
        <v>1092</v>
      </c>
      <c r="F158" s="6" t="s">
        <v>180</v>
      </c>
      <c r="G158" s="6" t="s">
        <v>1093</v>
      </c>
      <c r="H158" s="6" t="s">
        <v>485</v>
      </c>
      <c r="I158" s="6" t="s">
        <v>543</v>
      </c>
      <c r="J158" s="6" t="s">
        <v>1094</v>
      </c>
      <c r="K158" s="6" t="s">
        <v>133</v>
      </c>
      <c r="L158" s="31" t="s">
        <v>176</v>
      </c>
      <c r="M158" s="32" t="s">
        <v>185</v>
      </c>
      <c r="N158" s="33"/>
      <c r="O158" s="34"/>
      <c r="P158" s="34" t="s">
        <v>187</v>
      </c>
      <c r="Q158" s="6" t="s">
        <v>1095</v>
      </c>
      <c r="R158" s="34"/>
      <c r="S158" s="31" t="s">
        <v>117</v>
      </c>
      <c r="T158" s="35"/>
      <c r="U158" s="29" t="str">
        <f aca="false">IF(B158&lt;&gt;"Y","Out of scope",IF(N158="","Awaiting response",IF(AND(OR(N158="Yes",N158="Partial"),O158=""),"No detail: treat as unanswered",IF(AND(N158="Yes",R158=""),"No evidence link",IF(AND(S158="Gap",T158=""),"Gap needs owner and date in Comments","OK")))))</f>
        <v>Awaiting response</v>
      </c>
    </row>
    <row r="159" customFormat="false" ht="35.05" hidden="false" customHeight="false" outlineLevel="0" collapsed="false">
      <c r="A159" s="30" t="s">
        <v>1096</v>
      </c>
      <c r="B159" s="31" t="s">
        <v>176</v>
      </c>
      <c r="C159" s="6" t="s">
        <v>150</v>
      </c>
      <c r="D159" s="6" t="s">
        <v>1097</v>
      </c>
      <c r="E159" s="6" t="s">
        <v>1098</v>
      </c>
      <c r="F159" s="6" t="s">
        <v>262</v>
      </c>
      <c r="G159" s="6" t="s">
        <v>263</v>
      </c>
      <c r="H159" s="6" t="s">
        <v>1099</v>
      </c>
      <c r="I159" s="6" t="s">
        <v>197</v>
      </c>
      <c r="J159" s="6" t="s">
        <v>197</v>
      </c>
      <c r="K159" s="6" t="s">
        <v>133</v>
      </c>
      <c r="L159" s="31" t="s">
        <v>176</v>
      </c>
      <c r="M159" s="32" t="s">
        <v>185</v>
      </c>
      <c r="N159" s="33"/>
      <c r="O159" s="34"/>
      <c r="P159" s="34" t="s">
        <v>198</v>
      </c>
      <c r="Q159" s="6" t="s">
        <v>1100</v>
      </c>
      <c r="R159" s="34"/>
      <c r="S159" s="31" t="s">
        <v>117</v>
      </c>
      <c r="T159" s="35"/>
      <c r="U159" s="29" t="str">
        <f aca="false">IF(B159&lt;&gt;"Y","Out of scope",IF(N159="","Awaiting response",IF(AND(OR(N159="Yes",N159="Partial"),O159=""),"No detail: treat as unanswered",IF(AND(N159="Yes",R159=""),"No evidence link",IF(AND(S159="Gap",T159=""),"Gap needs owner and date in Comments","OK")))))</f>
        <v>Awaiting response</v>
      </c>
    </row>
    <row r="160" customFormat="false" ht="23.85" hidden="false" customHeight="false" outlineLevel="0" collapsed="false">
      <c r="A160" s="30" t="s">
        <v>1101</v>
      </c>
      <c r="B160" s="31" t="s">
        <v>176</v>
      </c>
      <c r="C160" s="6" t="s">
        <v>150</v>
      </c>
      <c r="D160" s="6" t="s">
        <v>1102</v>
      </c>
      <c r="E160" s="6" t="s">
        <v>1103</v>
      </c>
      <c r="F160" s="6" t="s">
        <v>1104</v>
      </c>
      <c r="G160" s="6" t="s">
        <v>1105</v>
      </c>
      <c r="H160" s="6" t="s">
        <v>196</v>
      </c>
      <c r="I160" s="6" t="s">
        <v>197</v>
      </c>
      <c r="J160" s="6" t="s">
        <v>197</v>
      </c>
      <c r="K160" s="6" t="s">
        <v>135</v>
      </c>
      <c r="L160" s="31" t="s">
        <v>236</v>
      </c>
      <c r="M160" s="32" t="s">
        <v>185</v>
      </c>
      <c r="N160" s="33"/>
      <c r="O160" s="34"/>
      <c r="P160" s="34" t="s">
        <v>198</v>
      </c>
      <c r="Q160" s="6" t="s">
        <v>1106</v>
      </c>
      <c r="R160" s="34"/>
      <c r="S160" s="31" t="s">
        <v>117</v>
      </c>
      <c r="T160" s="35"/>
      <c r="U160" s="29" t="str">
        <f aca="false">IF(B160&lt;&gt;"Y","Out of scope",IF(N160="","Awaiting response",IF(AND(OR(N160="Yes",N160="Partial"),O160=""),"No detail: treat as unanswered",IF(AND(N160="Yes",R160=""),"No evidence link",IF(AND(S160="Gap",T160=""),"Gap needs owner and date in Comments","OK")))))</f>
        <v>Awaiting response</v>
      </c>
    </row>
    <row r="161" customFormat="false" ht="35.05" hidden="false" customHeight="false" outlineLevel="0" collapsed="false">
      <c r="A161" s="30" t="s">
        <v>1107</v>
      </c>
      <c r="B161" s="31" t="s">
        <v>176</v>
      </c>
      <c r="C161" s="6" t="s">
        <v>150</v>
      </c>
      <c r="D161" s="6" t="s">
        <v>1108</v>
      </c>
      <c r="E161" s="6" t="s">
        <v>1109</v>
      </c>
      <c r="F161" s="6" t="s">
        <v>398</v>
      </c>
      <c r="G161" s="6" t="s">
        <v>594</v>
      </c>
      <c r="H161" s="6" t="s">
        <v>400</v>
      </c>
      <c r="I161" s="6" t="s">
        <v>687</v>
      </c>
      <c r="J161" s="6" t="s">
        <v>644</v>
      </c>
      <c r="K161" s="6" t="s">
        <v>135</v>
      </c>
      <c r="L161" s="31" t="s">
        <v>236</v>
      </c>
      <c r="M161" s="32" t="s">
        <v>185</v>
      </c>
      <c r="N161" s="33"/>
      <c r="O161" s="34"/>
      <c r="P161" s="34" t="s">
        <v>393</v>
      </c>
      <c r="Q161" s="6" t="s">
        <v>1110</v>
      </c>
      <c r="R161" s="34"/>
      <c r="S161" s="31" t="s">
        <v>117</v>
      </c>
      <c r="T161" s="35"/>
      <c r="U161" s="29" t="str">
        <f aca="false">IF(B161&lt;&gt;"Y","Out of scope",IF(N161="","Awaiting response",IF(AND(OR(N161="Yes",N161="Partial"),O161=""),"No detail: treat as unanswered",IF(AND(N161="Yes",R161=""),"No evidence link",IF(AND(S161="Gap",T161=""),"Gap needs owner and date in Comments","OK")))))</f>
        <v>Awaiting response</v>
      </c>
    </row>
    <row r="162" customFormat="false" ht="35.05" hidden="false" customHeight="false" outlineLevel="0" collapsed="false">
      <c r="A162" s="30" t="s">
        <v>1111</v>
      </c>
      <c r="B162" s="31" t="s">
        <v>176</v>
      </c>
      <c r="C162" s="6" t="s">
        <v>150</v>
      </c>
      <c r="D162" s="6" t="s">
        <v>1112</v>
      </c>
      <c r="E162" s="6" t="s">
        <v>1113</v>
      </c>
      <c r="F162" s="6" t="s">
        <v>1114</v>
      </c>
      <c r="G162" s="6" t="s">
        <v>347</v>
      </c>
      <c r="H162" s="6" t="s">
        <v>614</v>
      </c>
      <c r="I162" s="6" t="s">
        <v>197</v>
      </c>
      <c r="J162" s="6" t="s">
        <v>518</v>
      </c>
      <c r="K162" s="6" t="s">
        <v>135</v>
      </c>
      <c r="L162" s="31" t="s">
        <v>176</v>
      </c>
      <c r="M162" s="32" t="s">
        <v>185</v>
      </c>
      <c r="N162" s="33"/>
      <c r="O162" s="34"/>
      <c r="P162" s="34" t="s">
        <v>222</v>
      </c>
      <c r="Q162" s="6" t="s">
        <v>1115</v>
      </c>
      <c r="R162" s="34"/>
      <c r="S162" s="31" t="s">
        <v>117</v>
      </c>
      <c r="T162" s="35"/>
      <c r="U162" s="29" t="str">
        <f aca="false">IF(B162&lt;&gt;"Y","Out of scope",IF(N162="","Awaiting response",IF(AND(OR(N162="Yes",N162="Partial"),O162=""),"No detail: treat as unanswered",IF(AND(N162="Yes",R162=""),"No evidence link",IF(AND(S162="Gap",T162=""),"Gap needs owner and date in Comments","OK")))))</f>
        <v>Awaiting response</v>
      </c>
    </row>
    <row r="163" customFormat="false" ht="35.05" hidden="false" customHeight="false" outlineLevel="0" collapsed="false">
      <c r="A163" s="30" t="s">
        <v>1116</v>
      </c>
      <c r="B163" s="31" t="s">
        <v>176</v>
      </c>
      <c r="C163" s="6" t="s">
        <v>151</v>
      </c>
      <c r="D163" s="6" t="s">
        <v>1117</v>
      </c>
      <c r="E163" s="6" t="s">
        <v>1118</v>
      </c>
      <c r="F163" s="6" t="s">
        <v>1119</v>
      </c>
      <c r="G163" s="6" t="s">
        <v>1120</v>
      </c>
      <c r="H163" s="6" t="s">
        <v>1121</v>
      </c>
      <c r="I163" s="6" t="s">
        <v>197</v>
      </c>
      <c r="J163" s="6" t="s">
        <v>197</v>
      </c>
      <c r="K163" s="6" t="s">
        <v>131</v>
      </c>
      <c r="L163" s="31" t="s">
        <v>176</v>
      </c>
      <c r="M163" s="32" t="s">
        <v>185</v>
      </c>
      <c r="N163" s="33"/>
      <c r="O163" s="34"/>
      <c r="P163" s="34" t="s">
        <v>222</v>
      </c>
      <c r="Q163" s="6" t="s">
        <v>1122</v>
      </c>
      <c r="R163" s="34"/>
      <c r="S163" s="31" t="s">
        <v>117</v>
      </c>
      <c r="T163" s="35"/>
      <c r="U163" s="29" t="str">
        <f aca="false">IF(B163&lt;&gt;"Y","Out of scope",IF(N163="","Awaiting response",IF(AND(OR(N163="Yes",N163="Partial"),O163=""),"No detail: treat as unanswered",IF(AND(N163="Yes",R163=""),"No evidence link",IF(AND(S163="Gap",T163=""),"Gap needs owner and date in Comments","OK")))))</f>
        <v>Awaiting response</v>
      </c>
    </row>
    <row r="164" customFormat="false" ht="35.05" hidden="false" customHeight="false" outlineLevel="0" collapsed="false">
      <c r="A164" s="30" t="s">
        <v>1123</v>
      </c>
      <c r="B164" s="31" t="s">
        <v>176</v>
      </c>
      <c r="C164" s="6" t="s">
        <v>151</v>
      </c>
      <c r="D164" s="6" t="s">
        <v>1124</v>
      </c>
      <c r="E164" s="6" t="s">
        <v>1125</v>
      </c>
      <c r="F164" s="6" t="s">
        <v>180</v>
      </c>
      <c r="G164" s="6" t="s">
        <v>1126</v>
      </c>
      <c r="H164" s="6" t="s">
        <v>1127</v>
      </c>
      <c r="I164" s="6" t="s">
        <v>197</v>
      </c>
      <c r="J164" s="6" t="s">
        <v>197</v>
      </c>
      <c r="K164" s="6" t="s">
        <v>135</v>
      </c>
      <c r="L164" s="31" t="s">
        <v>236</v>
      </c>
      <c r="M164" s="32" t="s">
        <v>185</v>
      </c>
      <c r="N164" s="33"/>
      <c r="O164" s="34"/>
      <c r="P164" s="34" t="s">
        <v>560</v>
      </c>
      <c r="Q164" s="6" t="s">
        <v>1128</v>
      </c>
      <c r="R164" s="34"/>
      <c r="S164" s="31" t="s">
        <v>117</v>
      </c>
      <c r="T164" s="35"/>
      <c r="U164" s="29" t="str">
        <f aca="false">IF(B164&lt;&gt;"Y","Out of scope",IF(N164="","Awaiting response",IF(AND(OR(N164="Yes",N164="Partial"),O164=""),"No detail: treat as unanswered",IF(AND(N164="Yes",R164=""),"No evidence link",IF(AND(S164="Gap",T164=""),"Gap needs owner and date in Comments","OK")))))</f>
        <v>Awaiting response</v>
      </c>
    </row>
    <row r="165" customFormat="false" ht="35.05" hidden="false" customHeight="false" outlineLevel="0" collapsed="false">
      <c r="A165" s="30" t="s">
        <v>1129</v>
      </c>
      <c r="B165" s="31" t="s">
        <v>176</v>
      </c>
      <c r="C165" s="6" t="s">
        <v>151</v>
      </c>
      <c r="D165" s="6" t="s">
        <v>1130</v>
      </c>
      <c r="E165" s="6" t="s">
        <v>1131</v>
      </c>
      <c r="F165" s="6" t="s">
        <v>1132</v>
      </c>
      <c r="G165" s="6" t="s">
        <v>1133</v>
      </c>
      <c r="H165" s="6" t="s">
        <v>709</v>
      </c>
      <c r="I165" s="6" t="s">
        <v>197</v>
      </c>
      <c r="J165" s="6" t="s">
        <v>197</v>
      </c>
      <c r="K165" s="6" t="s">
        <v>135</v>
      </c>
      <c r="L165" s="31" t="s">
        <v>236</v>
      </c>
      <c r="M165" s="32" t="s">
        <v>185</v>
      </c>
      <c r="N165" s="33"/>
      <c r="O165" s="34"/>
      <c r="P165" s="34" t="s">
        <v>560</v>
      </c>
      <c r="Q165" s="6" t="s">
        <v>1134</v>
      </c>
      <c r="R165" s="34"/>
      <c r="S165" s="31" t="s">
        <v>117</v>
      </c>
      <c r="T165" s="35"/>
      <c r="U165" s="29" t="str">
        <f aca="false">IF(B165&lt;&gt;"Y","Out of scope",IF(N165="","Awaiting response",IF(AND(OR(N165="Yes",N165="Partial"),O165=""),"No detail: treat as unanswered",IF(AND(N165="Yes",R165=""),"No evidence link",IF(AND(S165="Gap",T165=""),"Gap needs owner and date in Comments","OK")))))</f>
        <v>Awaiting response</v>
      </c>
    </row>
    <row r="166" customFormat="false" ht="35.05" hidden="false" customHeight="false" outlineLevel="0" collapsed="false">
      <c r="A166" s="30" t="s">
        <v>1135</v>
      </c>
      <c r="B166" s="31" t="s">
        <v>176</v>
      </c>
      <c r="C166" s="6" t="s">
        <v>151</v>
      </c>
      <c r="D166" s="6" t="s">
        <v>1136</v>
      </c>
      <c r="E166" s="6" t="s">
        <v>1137</v>
      </c>
      <c r="F166" s="6" t="s">
        <v>1138</v>
      </c>
      <c r="G166" s="6" t="s">
        <v>1139</v>
      </c>
      <c r="H166" s="6" t="s">
        <v>1140</v>
      </c>
      <c r="I166" s="6" t="s">
        <v>197</v>
      </c>
      <c r="J166" s="6" t="s">
        <v>197</v>
      </c>
      <c r="K166" s="6" t="s">
        <v>135</v>
      </c>
      <c r="L166" s="31" t="s">
        <v>236</v>
      </c>
      <c r="M166" s="32" t="s">
        <v>185</v>
      </c>
      <c r="N166" s="33"/>
      <c r="O166" s="34"/>
      <c r="P166" s="34" t="s">
        <v>198</v>
      </c>
      <c r="Q166" s="6" t="s">
        <v>1141</v>
      </c>
      <c r="R166" s="34"/>
      <c r="S166" s="31" t="s">
        <v>117</v>
      </c>
      <c r="T166" s="35"/>
      <c r="U166" s="29" t="str">
        <f aca="false">IF(B166&lt;&gt;"Y","Out of scope",IF(N166="","Awaiting response",IF(AND(OR(N166="Yes",N166="Partial"),O166=""),"No detail: treat as unanswered",IF(AND(N166="Yes",R166=""),"No evidence link",IF(AND(S166="Gap",T166=""),"Gap needs owner and date in Comments","OK")))))</f>
        <v>Awaiting response</v>
      </c>
    </row>
    <row r="167" customFormat="false" ht="46.25" hidden="false" customHeight="false" outlineLevel="0" collapsed="false">
      <c r="A167" s="30" t="s">
        <v>1142</v>
      </c>
      <c r="B167" s="31" t="s">
        <v>176</v>
      </c>
      <c r="C167" s="6" t="s">
        <v>151</v>
      </c>
      <c r="D167" s="6" t="s">
        <v>1143</v>
      </c>
      <c r="E167" s="6" t="s">
        <v>1144</v>
      </c>
      <c r="F167" s="6" t="s">
        <v>1119</v>
      </c>
      <c r="G167" s="6" t="s">
        <v>1120</v>
      </c>
      <c r="H167" s="6" t="s">
        <v>1145</v>
      </c>
      <c r="I167" s="6" t="s">
        <v>197</v>
      </c>
      <c r="J167" s="6" t="s">
        <v>197</v>
      </c>
      <c r="K167" s="6" t="s">
        <v>131</v>
      </c>
      <c r="L167" s="31" t="s">
        <v>176</v>
      </c>
      <c r="M167" s="32" t="s">
        <v>185</v>
      </c>
      <c r="N167" s="33"/>
      <c r="O167" s="34"/>
      <c r="P167" s="34" t="s">
        <v>222</v>
      </c>
      <c r="Q167" s="6" t="s">
        <v>1146</v>
      </c>
      <c r="R167" s="34"/>
      <c r="S167" s="31" t="s">
        <v>117</v>
      </c>
      <c r="T167" s="35"/>
      <c r="U167" s="29" t="str">
        <f aca="false">IF(B167&lt;&gt;"Y","Out of scope",IF(N167="","Awaiting response",IF(AND(OR(N167="Yes",N167="Partial"),O167=""),"No detail: treat as unanswered",IF(AND(N167="Yes",R167=""),"No evidence link",IF(AND(S167="Gap",T167=""),"Gap needs owner and date in Comments","OK")))))</f>
        <v>Awaiting response</v>
      </c>
    </row>
    <row r="168" customFormat="false" ht="35.05" hidden="false" customHeight="false" outlineLevel="0" collapsed="false">
      <c r="A168" s="30" t="s">
        <v>1147</v>
      </c>
      <c r="B168" s="31" t="s">
        <v>176</v>
      </c>
      <c r="C168" s="6" t="s">
        <v>151</v>
      </c>
      <c r="D168" s="6" t="s">
        <v>1148</v>
      </c>
      <c r="E168" s="6" t="s">
        <v>1149</v>
      </c>
      <c r="F168" s="6" t="s">
        <v>268</v>
      </c>
      <c r="G168" s="6" t="s">
        <v>412</v>
      </c>
      <c r="H168" s="6" t="s">
        <v>578</v>
      </c>
      <c r="I168" s="6" t="s">
        <v>271</v>
      </c>
      <c r="J168" s="6" t="s">
        <v>197</v>
      </c>
      <c r="K168" s="6" t="s">
        <v>132</v>
      </c>
      <c r="L168" s="31" t="s">
        <v>236</v>
      </c>
      <c r="M168" s="32" t="s">
        <v>185</v>
      </c>
      <c r="N168" s="33"/>
      <c r="O168" s="34"/>
      <c r="P168" s="34" t="s">
        <v>272</v>
      </c>
      <c r="Q168" s="6" t="s">
        <v>1150</v>
      </c>
      <c r="R168" s="34"/>
      <c r="S168" s="31" t="s">
        <v>117</v>
      </c>
      <c r="T168" s="35"/>
      <c r="U168" s="29" t="str">
        <f aca="false">IF(B168&lt;&gt;"Y","Out of scope",IF(N168="","Awaiting response",IF(AND(OR(N168="Yes",N168="Partial"),O168=""),"No detail: treat as unanswered",IF(AND(N168="Yes",R168=""),"No evidence link",IF(AND(S168="Gap",T168=""),"Gap needs owner and date in Comments","OK")))))</f>
        <v>Awaiting response</v>
      </c>
    </row>
    <row r="169" customFormat="false" ht="35.05" hidden="false" customHeight="false" outlineLevel="0" collapsed="false">
      <c r="A169" s="30" t="s">
        <v>1151</v>
      </c>
      <c r="B169" s="31" t="s">
        <v>176</v>
      </c>
      <c r="C169" s="6" t="s">
        <v>151</v>
      </c>
      <c r="D169" s="6" t="s">
        <v>1152</v>
      </c>
      <c r="E169" s="6" t="s">
        <v>1153</v>
      </c>
      <c r="F169" s="6" t="s">
        <v>599</v>
      </c>
      <c r="G169" s="6" t="s">
        <v>1154</v>
      </c>
      <c r="H169" s="6" t="s">
        <v>1155</v>
      </c>
      <c r="I169" s="6" t="s">
        <v>197</v>
      </c>
      <c r="J169" s="6" t="s">
        <v>197</v>
      </c>
      <c r="K169" s="6" t="s">
        <v>132</v>
      </c>
      <c r="L169" s="31" t="s">
        <v>176</v>
      </c>
      <c r="M169" s="32" t="s">
        <v>185</v>
      </c>
      <c r="N169" s="33"/>
      <c r="O169" s="34"/>
      <c r="P169" s="34" t="s">
        <v>198</v>
      </c>
      <c r="Q169" s="6" t="s">
        <v>1156</v>
      </c>
      <c r="R169" s="34"/>
      <c r="S169" s="31" t="s">
        <v>117</v>
      </c>
      <c r="T169" s="35"/>
      <c r="U169" s="29" t="str">
        <f aca="false">IF(B169&lt;&gt;"Y","Out of scope",IF(N169="","Awaiting response",IF(AND(OR(N169="Yes",N169="Partial"),O169=""),"No detail: treat as unanswered",IF(AND(N169="Yes",R169=""),"No evidence link",IF(AND(S169="Gap",T169=""),"Gap needs owner and date in Comments","OK")))))</f>
        <v>Awaiting response</v>
      </c>
    </row>
    <row r="170" customFormat="false" ht="23.85" hidden="false" customHeight="false" outlineLevel="0" collapsed="false">
      <c r="A170" s="30" t="s">
        <v>1157</v>
      </c>
      <c r="B170" s="31" t="s">
        <v>176</v>
      </c>
      <c r="C170" s="6" t="s">
        <v>151</v>
      </c>
      <c r="D170" s="6" t="s">
        <v>1158</v>
      </c>
      <c r="E170" s="6" t="s">
        <v>1159</v>
      </c>
      <c r="F170" s="6" t="s">
        <v>268</v>
      </c>
      <c r="G170" s="6" t="s">
        <v>1160</v>
      </c>
      <c r="H170" s="6" t="s">
        <v>413</v>
      </c>
      <c r="I170" s="6" t="s">
        <v>197</v>
      </c>
      <c r="J170" s="6" t="s">
        <v>197</v>
      </c>
      <c r="K170" s="6" t="s">
        <v>135</v>
      </c>
      <c r="L170" s="31" t="s">
        <v>236</v>
      </c>
      <c r="M170" s="32" t="s">
        <v>278</v>
      </c>
      <c r="N170" s="33"/>
      <c r="O170" s="34"/>
      <c r="P170" s="34" t="s">
        <v>272</v>
      </c>
      <c r="Q170" s="6" t="s">
        <v>1161</v>
      </c>
      <c r="R170" s="34"/>
      <c r="S170" s="31" t="s">
        <v>117</v>
      </c>
      <c r="T170" s="35"/>
      <c r="U170" s="29" t="str">
        <f aca="false">IF(B170&lt;&gt;"Y","Out of scope",IF(N170="","Awaiting response",IF(AND(OR(N170="Yes",N170="Partial"),O170=""),"No detail: treat as unanswered",IF(AND(N170="Yes",R170=""),"No evidence link",IF(AND(S170="Gap",T170=""),"Gap needs owner and date in Comments","OK")))))</f>
        <v>Awaiting response</v>
      </c>
    </row>
  </sheetData>
  <autoFilter ref="A4:U170"/>
  <conditionalFormatting sqref="S5:S670">
    <cfRule type="cellIs" priority="2" operator="equal" aboveAverage="0" equalAverage="0" bottom="0" percent="0" rank="0" text="" dxfId="14">
      <formula>"Pending"</formula>
    </cfRule>
    <cfRule type="cellIs" priority="3" operator="equal" aboveAverage="0" equalAverage="0" bottom="0" percent="0" rank="0" text="" dxfId="15">
      <formula>"Accepted"</formula>
    </cfRule>
    <cfRule type="cellIs" priority="4" operator="equal" aboveAverage="0" equalAverage="0" bottom="0" percent="0" rank="0" text="" dxfId="16">
      <formula>"Gap"</formula>
    </cfRule>
    <cfRule type="cellIs" priority="5" operator="equal" aboveAverage="0" equalAverage="0" bottom="0" percent="0" rank="0" text="" dxfId="17">
      <formula>"Risk Accepted"</formula>
    </cfRule>
    <cfRule type="cellIs" priority="6" operator="equal" aboveAverage="0" equalAverage="0" bottom="0" percent="0" rank="0" text="" dxfId="18">
      <formula>"Not Applicable"</formula>
    </cfRule>
  </conditionalFormatting>
  <conditionalFormatting sqref="U5:U670">
    <cfRule type="cellIs" priority="7" operator="equal" aboveAverage="0" equalAverage="0" bottom="0" percent="0" rank="0" text="" dxfId="19">
      <formula>"No detail: treat as unanswered"</formula>
    </cfRule>
    <cfRule type="cellIs" priority="8" operator="equal" aboveAverage="0" equalAverage="0" bottom="0" percent="0" rank="0" text="" dxfId="19">
      <formula>"No evidence link"</formula>
    </cfRule>
    <cfRule type="cellIs" priority="9" operator="equal" aboveAverage="0" equalAverage="0" bottom="0" percent="0" rank="0" text="" dxfId="20">
      <formula>"Gap needs owner and date in Comments"</formula>
    </cfRule>
    <cfRule type="cellIs" priority="10" operator="equal" aboveAverage="0" equalAverage="0" bottom="0" percent="0" rank="0" text="" dxfId="21">
      <formula>"OK"</formula>
    </cfRule>
  </conditionalFormatting>
  <dataValidations count="7">
    <dataValidation allowBlank="true" error="Choose a value from the list (edit the Lists sheet to change the options)." errorStyle="warning" operator="between" showDropDown="false" showErrorMessage="true" showInputMessage="false" sqref="B5:B670" type="list">
      <formula1>Lists!$A$2:$A$3</formula1>
      <formula2>0</formula2>
    </dataValidation>
    <dataValidation allowBlank="true" error="Choose a value from the list (edit the Lists sheet to change the options)." errorStyle="warning" operator="between" showDropDown="false" showErrorMessage="true" showInputMessage="false" sqref="L5:L670" type="list">
      <formula1>Lists!$A$2:$A$3</formula1>
      <formula2>0</formula2>
    </dataValidation>
    <dataValidation allowBlank="true" error="Choose a value from the list (edit the Lists sheet to change the options)." errorStyle="warning" operator="between" showDropDown="false" showErrorMessage="true" showInputMessage="false" sqref="K5:K670" type="list">
      <formula1>Lists!$B$2:$B$6</formula1>
      <formula2>0</formula2>
    </dataValidation>
    <dataValidation allowBlank="true" error="Choose a value from the list (edit the Lists sheet to change the options)." errorStyle="warning" operator="between" showDropDown="false" showErrorMessage="true" showInputMessage="false" sqref="M5:M670" type="list">
      <formula1>Lists!$C$2:$C$11</formula1>
      <formula2>0</formula2>
    </dataValidation>
    <dataValidation allowBlank="true" error="Choose a value from the list (edit the Lists sheet to change the options)." errorStyle="warning" operator="between" showDropDown="false" showErrorMessage="true" showInputMessage="false" sqref="N5:N670" type="list">
      <formula1>Lists!$D$2:$D$5</formula1>
      <formula2>0</formula2>
    </dataValidation>
    <dataValidation allowBlank="true" error="Choose a value from the list (edit the Lists sheet to change the options)." errorStyle="warning" operator="between" showDropDown="false" showErrorMessage="true" showInputMessage="false" sqref="P5:P670" type="list">
      <formula1>Lists!$F$2:$F$14</formula1>
      <formula2>0</formula2>
    </dataValidation>
    <dataValidation allowBlank="true" error="Choose a value from the list (edit the Lists sheet to change the options)." errorStyle="warning" operator="between" showDropDown="false" showErrorMessage="true" showInputMessage="false" sqref="S5:S670" type="list">
      <formula1>Lists!$E$2:$E$6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E8C"/>
    <pageSetUpPr fitToPage="false"/>
  </sheetPr>
  <dimension ref="A1:Y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9"/>
    <col collapsed="false" customWidth="true" hidden="false" outlineLevel="0" max="3" min="3" style="0" width="22"/>
    <col collapsed="false" customWidth="true" hidden="false" outlineLevel="0" max="4" min="4" style="0" width="20"/>
    <col collapsed="false" customWidth="true" hidden="false" outlineLevel="0" max="5" min="5" style="0" width="60"/>
    <col collapsed="false" customWidth="true" hidden="false" outlineLevel="0" max="7" min="6" style="0" width="16"/>
    <col collapsed="false" customWidth="true" hidden="false" outlineLevel="0" max="8" min="8" style="0" width="14"/>
    <col collapsed="false" customWidth="true" hidden="false" outlineLevel="0" max="10" min="9" style="0" width="12"/>
    <col collapsed="false" customWidth="true" hidden="false" outlineLevel="0" max="11" min="11" style="0" width="18"/>
    <col collapsed="false" customWidth="true" hidden="false" outlineLevel="0" max="12" min="12" style="0" width="12"/>
    <col collapsed="false" customWidth="true" hidden="false" outlineLevel="0" max="14" min="13" style="0" width="18"/>
    <col collapsed="false" customWidth="true" hidden="false" outlineLevel="0" max="15" min="15" style="0" width="16"/>
    <col collapsed="false" customWidth="true" hidden="false" outlineLevel="0" max="16" min="16" style="0" width="10"/>
    <col collapsed="false" customWidth="true" hidden="false" outlineLevel="0" max="17" min="17" style="0" width="14"/>
    <col collapsed="false" customWidth="true" hidden="false" outlineLevel="0" max="18" min="18" style="0" width="11"/>
    <col collapsed="false" customWidth="true" hidden="false" outlineLevel="0" max="19" min="19" style="0" width="40"/>
    <col collapsed="false" customWidth="true" hidden="false" outlineLevel="0" max="20" min="20" style="0" width="18"/>
    <col collapsed="false" customWidth="true" hidden="false" outlineLevel="0" max="21" min="21" style="0" width="40"/>
    <col collapsed="false" customWidth="true" hidden="false" outlineLevel="0" max="22" min="22" style="0" width="26"/>
    <col collapsed="false" customWidth="true" hidden="false" outlineLevel="0" max="23" min="23" style="0" width="13"/>
    <col collapsed="false" customWidth="true" hidden="false" outlineLevel="0" max="24" min="24" style="0" width="36"/>
    <col collapsed="false" customWidth="true" hidden="false" outlineLevel="0" max="25" min="25" style="0" width="26"/>
  </cols>
  <sheetData>
    <row r="1" customFormat="false" ht="30" hidden="false" customHeight="true" outlineLevel="0" collapsed="false">
      <c r="A1" s="36" t="s">
        <v>56</v>
      </c>
      <c r="B1" s="37"/>
      <c r="C1" s="37"/>
      <c r="D1" s="37"/>
      <c r="E1" s="37"/>
      <c r="F1" s="37"/>
      <c r="G1" s="37"/>
      <c r="H1" s="37"/>
      <c r="I1" s="37"/>
      <c r="J1" s="37"/>
      <c r="K1" s="37"/>
      <c r="L1" s="37"/>
      <c r="M1" s="37"/>
      <c r="N1" s="37"/>
      <c r="O1" s="37"/>
      <c r="P1" s="37"/>
      <c r="Q1" s="37"/>
      <c r="R1" s="37"/>
      <c r="S1" s="37"/>
      <c r="T1" s="37"/>
      <c r="U1" s="37"/>
      <c r="V1" s="37"/>
      <c r="W1" s="37"/>
      <c r="X1" s="37"/>
    </row>
    <row r="2" customFormat="false" ht="15" hidden="false" customHeight="false" outlineLevel="0" collapsed="false">
      <c r="A2" s="3" t="s">
        <v>1162</v>
      </c>
    </row>
    <row r="4" customFormat="false" ht="45" hidden="false" customHeight="true" outlineLevel="0" collapsed="false">
      <c r="A4" s="24" t="s">
        <v>21</v>
      </c>
      <c r="B4" s="23" t="s">
        <v>166</v>
      </c>
      <c r="C4" s="24" t="s">
        <v>137</v>
      </c>
      <c r="D4" s="24" t="s">
        <v>167</v>
      </c>
      <c r="E4" s="24" t="s">
        <v>168</v>
      </c>
      <c r="F4" s="24" t="s">
        <v>155</v>
      </c>
      <c r="G4" s="24" t="s">
        <v>156</v>
      </c>
      <c r="H4" s="24" t="s">
        <v>157</v>
      </c>
      <c r="I4" s="24" t="s">
        <v>158</v>
      </c>
      <c r="J4" s="24" t="s">
        <v>159</v>
      </c>
      <c r="K4" s="24" t="s">
        <v>1163</v>
      </c>
      <c r="L4" s="24" t="s">
        <v>1164</v>
      </c>
      <c r="M4" s="24" t="s">
        <v>1165</v>
      </c>
      <c r="N4" s="24" t="s">
        <v>1166</v>
      </c>
      <c r="O4" s="24" t="s">
        <v>23</v>
      </c>
      <c r="P4" s="23" t="s">
        <v>25</v>
      </c>
      <c r="Q4" s="24" t="s">
        <v>27</v>
      </c>
      <c r="R4" s="24" t="s">
        <v>29</v>
      </c>
      <c r="S4" s="24" t="s">
        <v>169</v>
      </c>
      <c r="T4" s="24" t="s">
        <v>170</v>
      </c>
      <c r="U4" s="24" t="s">
        <v>171</v>
      </c>
      <c r="V4" s="24" t="s">
        <v>172</v>
      </c>
      <c r="W4" s="23" t="s">
        <v>31</v>
      </c>
      <c r="X4" s="23" t="s">
        <v>173</v>
      </c>
      <c r="Y4" s="25" t="s">
        <v>174</v>
      </c>
    </row>
    <row r="5" customFormat="false" ht="46.25" hidden="false" customHeight="false" outlineLevel="0" collapsed="false">
      <c r="A5" s="30" t="s">
        <v>1167</v>
      </c>
      <c r="B5" s="31" t="s">
        <v>176</v>
      </c>
      <c r="C5" s="6" t="s">
        <v>1168</v>
      </c>
      <c r="D5" s="6" t="s">
        <v>1169</v>
      </c>
      <c r="E5" s="6" t="s">
        <v>1170</v>
      </c>
      <c r="F5" s="6" t="s">
        <v>1119</v>
      </c>
      <c r="G5" s="6" t="s">
        <v>195</v>
      </c>
      <c r="H5" s="6" t="s">
        <v>197</v>
      </c>
      <c r="I5" s="6" t="s">
        <v>197</v>
      </c>
      <c r="J5" s="6" t="s">
        <v>197</v>
      </c>
      <c r="K5" s="6" t="s">
        <v>1171</v>
      </c>
      <c r="L5" s="6" t="s">
        <v>1172</v>
      </c>
      <c r="M5" s="6" t="s">
        <v>1173</v>
      </c>
      <c r="N5" s="6" t="s">
        <v>197</v>
      </c>
      <c r="O5" s="6" t="s">
        <v>131</v>
      </c>
      <c r="P5" s="31" t="s">
        <v>176</v>
      </c>
      <c r="Q5" s="32" t="s">
        <v>185</v>
      </c>
      <c r="R5" s="33"/>
      <c r="S5" s="34"/>
      <c r="T5" s="34" t="s">
        <v>222</v>
      </c>
      <c r="U5" s="6" t="s">
        <v>1174</v>
      </c>
      <c r="V5" s="34"/>
      <c r="W5" s="31" t="s">
        <v>117</v>
      </c>
      <c r="X5" s="35"/>
      <c r="Y5" s="29" t="str">
        <f aca="false">IF(B5&lt;&gt;"Y","Out of scope",IF(R5="","Awaiting response",IF(AND(OR(R5="Yes",R5="Partial"),S5=""),"No detail: treat as unanswered",IF(AND(R5="Yes",V5=""),"No evidence link",IF(AND(W5="Gap",X5=""),"Gap needs owner and date in Comments","OK")))))</f>
        <v>Awaiting response</v>
      </c>
    </row>
    <row r="6" customFormat="false" ht="46.25" hidden="false" customHeight="false" outlineLevel="0" collapsed="false">
      <c r="A6" s="30" t="s">
        <v>1175</v>
      </c>
      <c r="B6" s="31" t="s">
        <v>176</v>
      </c>
      <c r="C6" s="6" t="s">
        <v>1168</v>
      </c>
      <c r="D6" s="6" t="s">
        <v>1176</v>
      </c>
      <c r="E6" s="6" t="s">
        <v>1177</v>
      </c>
      <c r="F6" s="6" t="s">
        <v>1178</v>
      </c>
      <c r="G6" s="6" t="s">
        <v>1179</v>
      </c>
      <c r="H6" s="6" t="s">
        <v>197</v>
      </c>
      <c r="I6" s="6" t="s">
        <v>305</v>
      </c>
      <c r="J6" s="6" t="s">
        <v>370</v>
      </c>
      <c r="K6" s="6" t="s">
        <v>1171</v>
      </c>
      <c r="L6" s="6" t="s">
        <v>1180</v>
      </c>
      <c r="M6" s="6" t="s">
        <v>1181</v>
      </c>
      <c r="N6" s="6" t="s">
        <v>1182</v>
      </c>
      <c r="O6" s="6" t="s">
        <v>132</v>
      </c>
      <c r="P6" s="31" t="s">
        <v>176</v>
      </c>
      <c r="Q6" s="32" t="s">
        <v>185</v>
      </c>
      <c r="R6" s="33"/>
      <c r="S6" s="34"/>
      <c r="T6" s="34" t="s">
        <v>214</v>
      </c>
      <c r="U6" s="6" t="s">
        <v>1183</v>
      </c>
      <c r="V6" s="34"/>
      <c r="W6" s="31" t="s">
        <v>117</v>
      </c>
      <c r="X6" s="35"/>
      <c r="Y6" s="29" t="str">
        <f aca="false">IF(B6&lt;&gt;"Y","Out of scope",IF(R6="","Awaiting response",IF(AND(OR(R6="Yes",R6="Partial"),S6=""),"No detail: treat as unanswered",IF(AND(R6="Yes",V6=""),"No evidence link",IF(AND(W6="Gap",X6=""),"Gap needs owner and date in Comments","OK")))))</f>
        <v>Awaiting response</v>
      </c>
    </row>
    <row r="7" customFormat="false" ht="46.25" hidden="false" customHeight="false" outlineLevel="0" collapsed="false">
      <c r="A7" s="30" t="s">
        <v>1184</v>
      </c>
      <c r="B7" s="31" t="s">
        <v>176</v>
      </c>
      <c r="C7" s="6" t="s">
        <v>1168</v>
      </c>
      <c r="D7" s="6" t="s">
        <v>1185</v>
      </c>
      <c r="E7" s="6" t="s">
        <v>1186</v>
      </c>
      <c r="F7" s="6" t="s">
        <v>268</v>
      </c>
      <c r="G7" s="6" t="s">
        <v>1187</v>
      </c>
      <c r="H7" s="6" t="s">
        <v>197</v>
      </c>
      <c r="I7" s="6" t="s">
        <v>1188</v>
      </c>
      <c r="J7" s="6" t="s">
        <v>197</v>
      </c>
      <c r="K7" s="6" t="s">
        <v>1171</v>
      </c>
      <c r="L7" s="6" t="s">
        <v>1189</v>
      </c>
      <c r="M7" s="6" t="s">
        <v>1181</v>
      </c>
      <c r="N7" s="6" t="s">
        <v>1190</v>
      </c>
      <c r="O7" s="6" t="s">
        <v>134</v>
      </c>
      <c r="P7" s="31" t="s">
        <v>176</v>
      </c>
      <c r="Q7" s="32" t="s">
        <v>419</v>
      </c>
      <c r="R7" s="33"/>
      <c r="S7" s="34"/>
      <c r="T7" s="34" t="s">
        <v>393</v>
      </c>
      <c r="U7" s="6" t="s">
        <v>1191</v>
      </c>
      <c r="V7" s="34"/>
      <c r="W7" s="31" t="s">
        <v>117</v>
      </c>
      <c r="X7" s="35"/>
      <c r="Y7" s="29" t="str">
        <f aca="false">IF(B7&lt;&gt;"Y","Out of scope",IF(R7="","Awaiting response",IF(AND(OR(R7="Yes",R7="Partial"),S7=""),"No detail: treat as unanswered",IF(AND(R7="Yes",V7=""),"No evidence link",IF(AND(W7="Gap",X7=""),"Gap needs owner and date in Comments","OK")))))</f>
        <v>Awaiting response</v>
      </c>
    </row>
    <row r="8" customFormat="false" ht="35.05" hidden="false" customHeight="false" outlineLevel="0" collapsed="false">
      <c r="A8" s="30" t="s">
        <v>1192</v>
      </c>
      <c r="B8" s="31" t="s">
        <v>176</v>
      </c>
      <c r="C8" s="6" t="s">
        <v>1168</v>
      </c>
      <c r="D8" s="6" t="s">
        <v>1193</v>
      </c>
      <c r="E8" s="6" t="s">
        <v>1194</v>
      </c>
      <c r="F8" s="6" t="s">
        <v>268</v>
      </c>
      <c r="G8" s="6" t="s">
        <v>269</v>
      </c>
      <c r="H8" s="6" t="s">
        <v>197</v>
      </c>
      <c r="I8" s="6" t="s">
        <v>271</v>
      </c>
      <c r="J8" s="6" t="s">
        <v>197</v>
      </c>
      <c r="K8" s="6" t="s">
        <v>1171</v>
      </c>
      <c r="L8" s="6" t="s">
        <v>1195</v>
      </c>
      <c r="M8" s="6" t="s">
        <v>1196</v>
      </c>
      <c r="N8" s="6" t="s">
        <v>197</v>
      </c>
      <c r="O8" s="6" t="s">
        <v>131</v>
      </c>
      <c r="P8" s="31" t="s">
        <v>176</v>
      </c>
      <c r="Q8" s="32" t="s">
        <v>419</v>
      </c>
      <c r="R8" s="33"/>
      <c r="S8" s="34"/>
      <c r="T8" s="34" t="s">
        <v>560</v>
      </c>
      <c r="U8" s="6" t="s">
        <v>1197</v>
      </c>
      <c r="V8" s="34"/>
      <c r="W8" s="31" t="s">
        <v>117</v>
      </c>
      <c r="X8" s="35"/>
      <c r="Y8" s="29" t="str">
        <f aca="false">IF(B8&lt;&gt;"Y","Out of scope",IF(R8="","Awaiting response",IF(AND(OR(R8="Yes",R8="Partial"),S8=""),"No detail: treat as unanswered",IF(AND(R8="Yes",V8=""),"No evidence link",IF(AND(W8="Gap",X8=""),"Gap needs owner and date in Comments","OK")))))</f>
        <v>Awaiting response</v>
      </c>
    </row>
    <row r="9" customFormat="false" ht="46.25" hidden="false" customHeight="false" outlineLevel="0" collapsed="false">
      <c r="A9" s="30" t="s">
        <v>1198</v>
      </c>
      <c r="B9" s="31" t="s">
        <v>176</v>
      </c>
      <c r="C9" s="6" t="s">
        <v>1168</v>
      </c>
      <c r="D9" s="6" t="s">
        <v>1199</v>
      </c>
      <c r="E9" s="6" t="s">
        <v>1200</v>
      </c>
      <c r="F9" s="6" t="s">
        <v>268</v>
      </c>
      <c r="G9" s="6" t="s">
        <v>1201</v>
      </c>
      <c r="H9" s="6" t="s">
        <v>197</v>
      </c>
      <c r="I9" s="6" t="s">
        <v>271</v>
      </c>
      <c r="J9" s="6" t="s">
        <v>567</v>
      </c>
      <c r="K9" s="6" t="s">
        <v>1171</v>
      </c>
      <c r="L9" s="6" t="s">
        <v>1202</v>
      </c>
      <c r="M9" s="6" t="s">
        <v>1196</v>
      </c>
      <c r="N9" s="6" t="s">
        <v>1203</v>
      </c>
      <c r="O9" s="6" t="s">
        <v>131</v>
      </c>
      <c r="P9" s="31" t="s">
        <v>176</v>
      </c>
      <c r="Q9" s="32" t="s">
        <v>185</v>
      </c>
      <c r="R9" s="33"/>
      <c r="S9" s="34"/>
      <c r="T9" s="34" t="s">
        <v>272</v>
      </c>
      <c r="U9" s="6" t="s">
        <v>1204</v>
      </c>
      <c r="V9" s="34"/>
      <c r="W9" s="31" t="s">
        <v>117</v>
      </c>
      <c r="X9" s="35"/>
      <c r="Y9" s="29" t="str">
        <f aca="false">IF(B9&lt;&gt;"Y","Out of scope",IF(R9="","Awaiting response",IF(AND(OR(R9="Yes",R9="Partial"),S9=""),"No detail: treat as unanswered",IF(AND(R9="Yes",V9=""),"No evidence link",IF(AND(W9="Gap",X9=""),"Gap needs owner and date in Comments","OK")))))</f>
        <v>Awaiting response</v>
      </c>
    </row>
    <row r="10" customFormat="false" ht="35.05" hidden="false" customHeight="false" outlineLevel="0" collapsed="false">
      <c r="A10" s="30" t="s">
        <v>1205</v>
      </c>
      <c r="B10" s="31" t="s">
        <v>176</v>
      </c>
      <c r="C10" s="6" t="s">
        <v>1168</v>
      </c>
      <c r="D10" s="6" t="s">
        <v>1206</v>
      </c>
      <c r="E10" s="6" t="s">
        <v>1207</v>
      </c>
      <c r="F10" s="6" t="s">
        <v>262</v>
      </c>
      <c r="G10" s="6" t="s">
        <v>1208</v>
      </c>
      <c r="H10" s="6" t="s">
        <v>197</v>
      </c>
      <c r="I10" s="6" t="s">
        <v>197</v>
      </c>
      <c r="J10" s="6" t="s">
        <v>197</v>
      </c>
      <c r="K10" s="6" t="s">
        <v>1171</v>
      </c>
      <c r="L10" s="6" t="s">
        <v>1172</v>
      </c>
      <c r="M10" s="6" t="s">
        <v>1173</v>
      </c>
      <c r="N10" s="6" t="s">
        <v>197</v>
      </c>
      <c r="O10" s="6" t="s">
        <v>131</v>
      </c>
      <c r="P10" s="31" t="s">
        <v>176</v>
      </c>
      <c r="Q10" s="32" t="s">
        <v>185</v>
      </c>
      <c r="R10" s="33"/>
      <c r="S10" s="34"/>
      <c r="T10" s="34" t="s">
        <v>214</v>
      </c>
      <c r="U10" s="6" t="s">
        <v>1209</v>
      </c>
      <c r="V10" s="34"/>
      <c r="W10" s="31" t="s">
        <v>117</v>
      </c>
      <c r="X10" s="35"/>
      <c r="Y10" s="29" t="str">
        <f aca="false">IF(B10&lt;&gt;"Y","Out of scope",IF(R10="","Awaiting response",IF(AND(OR(R10="Yes",R10="Partial"),S10=""),"No detail: treat as unanswered",IF(AND(R10="Yes",V10=""),"No evidence link",IF(AND(W10="Gap",X10=""),"Gap needs owner and date in Comments","OK")))))</f>
        <v>Awaiting response</v>
      </c>
    </row>
    <row r="11" customFormat="false" ht="35.05" hidden="false" customHeight="false" outlineLevel="0" collapsed="false">
      <c r="A11" s="30" t="s">
        <v>1210</v>
      </c>
      <c r="B11" s="31" t="s">
        <v>176</v>
      </c>
      <c r="C11" s="6" t="s">
        <v>1168</v>
      </c>
      <c r="D11" s="6" t="s">
        <v>1211</v>
      </c>
      <c r="E11" s="6" t="s">
        <v>1212</v>
      </c>
      <c r="F11" s="6" t="s">
        <v>1040</v>
      </c>
      <c r="G11" s="6" t="s">
        <v>607</v>
      </c>
      <c r="H11" s="6" t="s">
        <v>608</v>
      </c>
      <c r="I11" s="6" t="s">
        <v>197</v>
      </c>
      <c r="J11" s="6" t="s">
        <v>783</v>
      </c>
      <c r="K11" s="6" t="s">
        <v>1171</v>
      </c>
      <c r="L11" s="6" t="s">
        <v>1213</v>
      </c>
      <c r="M11" s="6" t="s">
        <v>1214</v>
      </c>
      <c r="N11" s="6" t="s">
        <v>1215</v>
      </c>
      <c r="O11" s="6" t="s">
        <v>135</v>
      </c>
      <c r="P11" s="31" t="s">
        <v>176</v>
      </c>
      <c r="Q11" s="32" t="s">
        <v>185</v>
      </c>
      <c r="R11" s="33"/>
      <c r="S11" s="34"/>
      <c r="T11" s="34" t="s">
        <v>198</v>
      </c>
      <c r="U11" s="6" t="s">
        <v>1216</v>
      </c>
      <c r="V11" s="34"/>
      <c r="W11" s="31" t="s">
        <v>117</v>
      </c>
      <c r="X11" s="35"/>
      <c r="Y11" s="29" t="str">
        <f aca="false">IF(B11&lt;&gt;"Y","Out of scope",IF(R11="","Awaiting response",IF(AND(OR(R11="Yes",R11="Partial"),S11=""),"No detail: treat as unanswered",IF(AND(R11="Yes",V11=""),"No evidence link",IF(AND(W11="Gap",X11=""),"Gap needs owner and date in Comments","OK")))))</f>
        <v>Awaiting response</v>
      </c>
    </row>
    <row r="12" customFormat="false" ht="46.25" hidden="false" customHeight="false" outlineLevel="0" collapsed="false">
      <c r="A12" s="30" t="s">
        <v>1217</v>
      </c>
      <c r="B12" s="31" t="s">
        <v>176</v>
      </c>
      <c r="C12" s="6" t="s">
        <v>1168</v>
      </c>
      <c r="D12" s="6" t="s">
        <v>1218</v>
      </c>
      <c r="E12" s="6" t="s">
        <v>1219</v>
      </c>
      <c r="F12" s="6" t="s">
        <v>781</v>
      </c>
      <c r="G12" s="6" t="s">
        <v>693</v>
      </c>
      <c r="H12" s="6" t="s">
        <v>425</v>
      </c>
      <c r="I12" s="6" t="s">
        <v>183</v>
      </c>
      <c r="J12" s="6" t="s">
        <v>783</v>
      </c>
      <c r="K12" s="6" t="s">
        <v>1171</v>
      </c>
      <c r="L12" s="6" t="s">
        <v>1220</v>
      </c>
      <c r="M12" s="6" t="s">
        <v>1221</v>
      </c>
      <c r="N12" s="6" t="s">
        <v>197</v>
      </c>
      <c r="O12" s="6" t="s">
        <v>135</v>
      </c>
      <c r="P12" s="31" t="s">
        <v>176</v>
      </c>
      <c r="Q12" s="32" t="s">
        <v>185</v>
      </c>
      <c r="R12" s="33"/>
      <c r="S12" s="34"/>
      <c r="T12" s="34" t="s">
        <v>393</v>
      </c>
      <c r="U12" s="6" t="s">
        <v>1222</v>
      </c>
      <c r="V12" s="34"/>
      <c r="W12" s="31" t="s">
        <v>117</v>
      </c>
      <c r="X12" s="35"/>
      <c r="Y12" s="29" t="str">
        <f aca="false">IF(B12&lt;&gt;"Y","Out of scope",IF(R12="","Awaiting response",IF(AND(OR(R12="Yes",R12="Partial"),S12=""),"No detail: treat as unanswered",IF(AND(R12="Yes",V12=""),"No evidence link",IF(AND(W12="Gap",X12=""),"Gap needs owner and date in Comments","OK")))))</f>
        <v>Awaiting response</v>
      </c>
    </row>
    <row r="13" customFormat="false" ht="35.05" hidden="false" customHeight="false" outlineLevel="0" collapsed="false">
      <c r="A13" s="30" t="s">
        <v>1223</v>
      </c>
      <c r="B13" s="31" t="s">
        <v>176</v>
      </c>
      <c r="C13" s="6" t="s">
        <v>1168</v>
      </c>
      <c r="D13" s="6" t="s">
        <v>1224</v>
      </c>
      <c r="E13" s="6" t="s">
        <v>1225</v>
      </c>
      <c r="F13" s="6" t="s">
        <v>180</v>
      </c>
      <c r="G13" s="6" t="s">
        <v>665</v>
      </c>
      <c r="H13" s="6" t="s">
        <v>485</v>
      </c>
      <c r="I13" s="6" t="s">
        <v>271</v>
      </c>
      <c r="J13" s="6" t="s">
        <v>486</v>
      </c>
      <c r="K13" s="6" t="s">
        <v>1171</v>
      </c>
      <c r="L13" s="6" t="s">
        <v>1226</v>
      </c>
      <c r="M13" s="6" t="s">
        <v>1227</v>
      </c>
      <c r="N13" s="6" t="s">
        <v>197</v>
      </c>
      <c r="O13" s="6" t="s">
        <v>135</v>
      </c>
      <c r="P13" s="31" t="s">
        <v>176</v>
      </c>
      <c r="Q13" s="32" t="s">
        <v>185</v>
      </c>
      <c r="R13" s="33"/>
      <c r="S13" s="34"/>
      <c r="T13" s="34" t="s">
        <v>187</v>
      </c>
      <c r="U13" s="6" t="s">
        <v>1228</v>
      </c>
      <c r="V13" s="34"/>
      <c r="W13" s="31" t="s">
        <v>117</v>
      </c>
      <c r="X13" s="35"/>
      <c r="Y13" s="29" t="str">
        <f aca="false">IF(B13&lt;&gt;"Y","Out of scope",IF(R13="","Awaiting response",IF(AND(OR(R13="Yes",R13="Partial"),S13=""),"No detail: treat as unanswered",IF(AND(R13="Yes",V13=""),"No evidence link",IF(AND(W13="Gap",X13=""),"Gap needs owner and date in Comments","OK")))))</f>
        <v>Awaiting response</v>
      </c>
    </row>
    <row r="14" customFormat="false" ht="35.05" hidden="false" customHeight="false" outlineLevel="0" collapsed="false">
      <c r="A14" s="30" t="s">
        <v>1229</v>
      </c>
      <c r="B14" s="31" t="s">
        <v>176</v>
      </c>
      <c r="C14" s="6" t="s">
        <v>1168</v>
      </c>
      <c r="D14" s="6" t="s">
        <v>1230</v>
      </c>
      <c r="E14" s="6" t="s">
        <v>1231</v>
      </c>
      <c r="F14" s="6" t="s">
        <v>1040</v>
      </c>
      <c r="G14" s="6" t="s">
        <v>607</v>
      </c>
      <c r="H14" s="6" t="s">
        <v>197</v>
      </c>
      <c r="I14" s="6" t="s">
        <v>197</v>
      </c>
      <c r="J14" s="6" t="s">
        <v>567</v>
      </c>
      <c r="K14" s="6" t="s">
        <v>1171</v>
      </c>
      <c r="L14" s="6" t="s">
        <v>1232</v>
      </c>
      <c r="M14" s="6" t="s">
        <v>1214</v>
      </c>
      <c r="N14" s="6" t="s">
        <v>197</v>
      </c>
      <c r="O14" s="6" t="s">
        <v>135</v>
      </c>
      <c r="P14" s="31" t="s">
        <v>236</v>
      </c>
      <c r="Q14" s="32" t="s">
        <v>185</v>
      </c>
      <c r="R14" s="33"/>
      <c r="S14" s="34"/>
      <c r="T14" s="34" t="s">
        <v>187</v>
      </c>
      <c r="U14" s="6" t="s">
        <v>1233</v>
      </c>
      <c r="V14" s="34"/>
      <c r="W14" s="31" t="s">
        <v>117</v>
      </c>
      <c r="X14" s="35"/>
      <c r="Y14" s="29" t="str">
        <f aca="false">IF(B14&lt;&gt;"Y","Out of scope",IF(R14="","Awaiting response",IF(AND(OR(R14="Yes",R14="Partial"),S14=""),"No detail: treat as unanswered",IF(AND(R14="Yes",V14=""),"No evidence link",IF(AND(W14="Gap",X14=""),"Gap needs owner and date in Comments","OK")))))</f>
        <v>Awaiting response</v>
      </c>
    </row>
    <row r="15" customFormat="false" ht="46.25" hidden="false" customHeight="false" outlineLevel="0" collapsed="false">
      <c r="A15" s="30" t="s">
        <v>1234</v>
      </c>
      <c r="B15" s="31" t="s">
        <v>176</v>
      </c>
      <c r="C15" s="6" t="s">
        <v>1168</v>
      </c>
      <c r="D15" s="6" t="s">
        <v>1235</v>
      </c>
      <c r="E15" s="6" t="s">
        <v>1236</v>
      </c>
      <c r="F15" s="6" t="s">
        <v>398</v>
      </c>
      <c r="G15" s="6" t="s">
        <v>436</v>
      </c>
      <c r="H15" s="6" t="s">
        <v>197</v>
      </c>
      <c r="I15" s="6" t="s">
        <v>197</v>
      </c>
      <c r="J15" s="6" t="s">
        <v>811</v>
      </c>
      <c r="K15" s="6" t="s">
        <v>1171</v>
      </c>
      <c r="L15" s="6" t="s">
        <v>1237</v>
      </c>
      <c r="M15" s="6" t="s">
        <v>1238</v>
      </c>
      <c r="N15" s="6" t="s">
        <v>197</v>
      </c>
      <c r="O15" s="6" t="s">
        <v>133</v>
      </c>
      <c r="P15" s="31" t="s">
        <v>236</v>
      </c>
      <c r="Q15" s="32" t="s">
        <v>185</v>
      </c>
      <c r="R15" s="33"/>
      <c r="S15" s="34"/>
      <c r="T15" s="34" t="s">
        <v>492</v>
      </c>
      <c r="U15" s="6" t="s">
        <v>1239</v>
      </c>
      <c r="V15" s="34"/>
      <c r="W15" s="31" t="s">
        <v>117</v>
      </c>
      <c r="X15" s="35"/>
      <c r="Y15" s="29" t="str">
        <f aca="false">IF(B15&lt;&gt;"Y","Out of scope",IF(R15="","Awaiting response",IF(AND(OR(R15="Yes",R15="Partial"),S15=""),"No detail: treat as unanswered",IF(AND(R15="Yes",V15=""),"No evidence link",IF(AND(W15="Gap",X15=""),"Gap needs owner and date in Comments","OK")))))</f>
        <v>Awaiting response</v>
      </c>
    </row>
    <row r="16" customFormat="false" ht="35.05" hidden="false" customHeight="false" outlineLevel="0" collapsed="false">
      <c r="A16" s="30" t="s">
        <v>1240</v>
      </c>
      <c r="B16" s="31" t="s">
        <v>176</v>
      </c>
      <c r="C16" s="6" t="s">
        <v>1168</v>
      </c>
      <c r="D16" s="6" t="s">
        <v>1241</v>
      </c>
      <c r="E16" s="6" t="s">
        <v>1242</v>
      </c>
      <c r="F16" s="6" t="s">
        <v>1243</v>
      </c>
      <c r="G16" s="6" t="s">
        <v>1244</v>
      </c>
      <c r="H16" s="6" t="s">
        <v>197</v>
      </c>
      <c r="I16" s="6" t="s">
        <v>1245</v>
      </c>
      <c r="J16" s="6" t="s">
        <v>370</v>
      </c>
      <c r="K16" s="6" t="s">
        <v>1171</v>
      </c>
      <c r="L16" s="6" t="s">
        <v>1246</v>
      </c>
      <c r="M16" s="6" t="s">
        <v>1181</v>
      </c>
      <c r="N16" s="6" t="s">
        <v>1247</v>
      </c>
      <c r="O16" s="6" t="s">
        <v>134</v>
      </c>
      <c r="P16" s="31" t="s">
        <v>176</v>
      </c>
      <c r="Q16" s="32" t="s">
        <v>185</v>
      </c>
      <c r="R16" s="33"/>
      <c r="S16" s="34"/>
      <c r="T16" s="34" t="s">
        <v>393</v>
      </c>
      <c r="U16" s="6" t="s">
        <v>1248</v>
      </c>
      <c r="V16" s="34"/>
      <c r="W16" s="31" t="s">
        <v>117</v>
      </c>
      <c r="X16" s="35"/>
      <c r="Y16" s="29" t="str">
        <f aca="false">IF(B16&lt;&gt;"Y","Out of scope",IF(R16="","Awaiting response",IF(AND(OR(R16="Yes",R16="Partial"),S16=""),"No detail: treat as unanswered",IF(AND(R16="Yes",V16=""),"No evidence link",IF(AND(W16="Gap",X16=""),"Gap needs owner and date in Comments","OK")))))</f>
        <v>Awaiting response</v>
      </c>
    </row>
    <row r="17" customFormat="false" ht="35.05" hidden="false" customHeight="false" outlineLevel="0" collapsed="false">
      <c r="A17" s="30" t="s">
        <v>1249</v>
      </c>
      <c r="B17" s="31" t="s">
        <v>176</v>
      </c>
      <c r="C17" s="6" t="s">
        <v>1168</v>
      </c>
      <c r="D17" s="6" t="s">
        <v>1250</v>
      </c>
      <c r="E17" s="6" t="s">
        <v>1251</v>
      </c>
      <c r="F17" s="6" t="s">
        <v>1252</v>
      </c>
      <c r="G17" s="6" t="s">
        <v>1253</v>
      </c>
      <c r="H17" s="6" t="s">
        <v>291</v>
      </c>
      <c r="I17" s="6" t="s">
        <v>322</v>
      </c>
      <c r="J17" s="6" t="s">
        <v>518</v>
      </c>
      <c r="K17" s="6" t="s">
        <v>1171</v>
      </c>
      <c r="L17" s="6" t="s">
        <v>1254</v>
      </c>
      <c r="M17" s="6" t="s">
        <v>1255</v>
      </c>
      <c r="N17" s="6" t="s">
        <v>197</v>
      </c>
      <c r="O17" s="6" t="s">
        <v>132</v>
      </c>
      <c r="P17" s="31" t="s">
        <v>236</v>
      </c>
      <c r="Q17" s="32" t="s">
        <v>185</v>
      </c>
      <c r="R17" s="33"/>
      <c r="S17" s="34"/>
      <c r="T17" s="34" t="s">
        <v>222</v>
      </c>
      <c r="U17" s="6" t="s">
        <v>1256</v>
      </c>
      <c r="V17" s="34"/>
      <c r="W17" s="31" t="s">
        <v>117</v>
      </c>
      <c r="X17" s="35"/>
      <c r="Y17" s="29" t="str">
        <f aca="false">IF(B17&lt;&gt;"Y","Out of scope",IF(R17="","Awaiting response",IF(AND(OR(R17="Yes",R17="Partial"),S17=""),"No detail: treat as unanswered",IF(AND(R17="Yes",V17=""),"No evidence link",IF(AND(W17="Gap",X17=""),"Gap needs owner and date in Comments","OK")))))</f>
        <v>Awaiting response</v>
      </c>
    </row>
    <row r="18" customFormat="false" ht="46.25" hidden="false" customHeight="false" outlineLevel="0" collapsed="false">
      <c r="A18" s="30" t="s">
        <v>1257</v>
      </c>
      <c r="B18" s="31" t="s">
        <v>176</v>
      </c>
      <c r="C18" s="6" t="s">
        <v>1168</v>
      </c>
      <c r="D18" s="6" t="s">
        <v>1258</v>
      </c>
      <c r="E18" s="6" t="s">
        <v>1259</v>
      </c>
      <c r="F18" s="6" t="s">
        <v>398</v>
      </c>
      <c r="G18" s="6" t="s">
        <v>436</v>
      </c>
      <c r="H18" s="6" t="s">
        <v>400</v>
      </c>
      <c r="I18" s="6" t="s">
        <v>305</v>
      </c>
      <c r="J18" s="6" t="s">
        <v>197</v>
      </c>
      <c r="K18" s="6" t="s">
        <v>1171</v>
      </c>
      <c r="L18" s="6" t="s">
        <v>1260</v>
      </c>
      <c r="M18" s="6" t="s">
        <v>1181</v>
      </c>
      <c r="N18" s="6" t="s">
        <v>1261</v>
      </c>
      <c r="O18" s="6" t="s">
        <v>134</v>
      </c>
      <c r="P18" s="31" t="s">
        <v>176</v>
      </c>
      <c r="Q18" s="32" t="s">
        <v>419</v>
      </c>
      <c r="R18" s="33"/>
      <c r="S18" s="34"/>
      <c r="T18" s="34" t="s">
        <v>393</v>
      </c>
      <c r="U18" s="6" t="s">
        <v>1262</v>
      </c>
      <c r="V18" s="34"/>
      <c r="W18" s="31" t="s">
        <v>117</v>
      </c>
      <c r="X18" s="35"/>
      <c r="Y18" s="29" t="str">
        <f aca="false">IF(B18&lt;&gt;"Y","Out of scope",IF(R18="","Awaiting response",IF(AND(OR(R18="Yes",R18="Partial"),S18=""),"No detail: treat as unanswered",IF(AND(R18="Yes",V18=""),"No evidence link",IF(AND(W18="Gap",X18=""),"Gap needs owner and date in Comments","OK")))))</f>
        <v>Awaiting response</v>
      </c>
    </row>
    <row r="19" customFormat="false" ht="57.45" hidden="false" customHeight="false" outlineLevel="0" collapsed="false">
      <c r="A19" s="30" t="s">
        <v>1263</v>
      </c>
      <c r="B19" s="31" t="s">
        <v>176</v>
      </c>
      <c r="C19" s="6" t="s">
        <v>1168</v>
      </c>
      <c r="D19" s="6" t="s">
        <v>1264</v>
      </c>
      <c r="E19" s="6" t="s">
        <v>1265</v>
      </c>
      <c r="F19" s="6" t="s">
        <v>1119</v>
      </c>
      <c r="G19" s="6" t="s">
        <v>1120</v>
      </c>
      <c r="H19" s="6" t="s">
        <v>197</v>
      </c>
      <c r="I19" s="6" t="s">
        <v>197</v>
      </c>
      <c r="J19" s="6" t="s">
        <v>197</v>
      </c>
      <c r="K19" s="6" t="s">
        <v>1171</v>
      </c>
      <c r="L19" s="6" t="s">
        <v>1266</v>
      </c>
      <c r="M19" s="6" t="s">
        <v>1173</v>
      </c>
      <c r="N19" s="6" t="s">
        <v>197</v>
      </c>
      <c r="O19" s="6" t="s">
        <v>131</v>
      </c>
      <c r="P19" s="31" t="s">
        <v>176</v>
      </c>
      <c r="Q19" s="32" t="s">
        <v>185</v>
      </c>
      <c r="R19" s="33"/>
      <c r="S19" s="34"/>
      <c r="T19" s="34" t="s">
        <v>222</v>
      </c>
      <c r="U19" s="6" t="s">
        <v>1267</v>
      </c>
      <c r="V19" s="34"/>
      <c r="W19" s="31" t="s">
        <v>117</v>
      </c>
      <c r="X19" s="35"/>
      <c r="Y19" s="29" t="str">
        <f aca="false">IF(B19&lt;&gt;"Y","Out of scope",IF(R19="","Awaiting response",IF(AND(OR(R19="Yes",R19="Partial"),S19=""),"No detail: treat as unanswered",IF(AND(R19="Yes",V19=""),"No evidence link",IF(AND(W19="Gap",X19=""),"Gap needs owner and date in Comments","OK")))))</f>
        <v>Awaiting response</v>
      </c>
    </row>
  </sheetData>
  <autoFilter ref="A4:Y19"/>
  <conditionalFormatting sqref="W5:W519">
    <cfRule type="cellIs" priority="2" operator="equal" aboveAverage="0" equalAverage="0" bottom="0" percent="0" rank="0" text="" dxfId="14">
      <formula>"Pending"</formula>
    </cfRule>
    <cfRule type="cellIs" priority="3" operator="equal" aboveAverage="0" equalAverage="0" bottom="0" percent="0" rank="0" text="" dxfId="15">
      <formula>"Accepted"</formula>
    </cfRule>
    <cfRule type="cellIs" priority="4" operator="equal" aboveAverage="0" equalAverage="0" bottom="0" percent="0" rank="0" text="" dxfId="16">
      <formula>"Gap"</formula>
    </cfRule>
    <cfRule type="cellIs" priority="5" operator="equal" aboveAverage="0" equalAverage="0" bottom="0" percent="0" rank="0" text="" dxfId="17">
      <formula>"Risk Accepted"</formula>
    </cfRule>
    <cfRule type="cellIs" priority="6" operator="equal" aboveAverage="0" equalAverage="0" bottom="0" percent="0" rank="0" text="" dxfId="18">
      <formula>"Not Applicable"</formula>
    </cfRule>
  </conditionalFormatting>
  <conditionalFormatting sqref="Y5:Y519">
    <cfRule type="cellIs" priority="7" operator="equal" aboveAverage="0" equalAverage="0" bottom="0" percent="0" rank="0" text="" dxfId="19">
      <formula>"No detail: treat as unanswered"</formula>
    </cfRule>
    <cfRule type="cellIs" priority="8" operator="equal" aboveAverage="0" equalAverage="0" bottom="0" percent="0" rank="0" text="" dxfId="19">
      <formula>"No evidence link"</formula>
    </cfRule>
    <cfRule type="cellIs" priority="9" operator="equal" aboveAverage="0" equalAverage="0" bottom="0" percent="0" rank="0" text="" dxfId="20">
      <formula>"Gap needs owner and date in Comments"</formula>
    </cfRule>
    <cfRule type="cellIs" priority="10" operator="equal" aboveAverage="0" equalAverage="0" bottom="0" percent="0" rank="0" text="" dxfId="21">
      <formula>"OK"</formula>
    </cfRule>
  </conditionalFormatting>
  <dataValidations count="7">
    <dataValidation allowBlank="true" error="Choose a value from the list (edit the Lists sheet to change the options)." errorStyle="warning" operator="between" showDropDown="false" showErrorMessage="true" showInputMessage="false" sqref="B5:B519" type="list">
      <formula1>Lists!$A$2:$A$3</formula1>
      <formula2>0</formula2>
    </dataValidation>
    <dataValidation allowBlank="true" error="Choose a value from the list (edit the Lists sheet to change the options)." errorStyle="warning" operator="between" showDropDown="false" showErrorMessage="true" showInputMessage="false" sqref="P5:P519" type="list">
      <formula1>Lists!$A$2:$A$3</formula1>
      <formula2>0</formula2>
    </dataValidation>
    <dataValidation allowBlank="true" error="Choose a value from the list (edit the Lists sheet to change the options)." errorStyle="warning" operator="between" showDropDown="false" showErrorMessage="true" showInputMessage="false" sqref="O5:O519" type="list">
      <formula1>Lists!$B$2:$B$6</formula1>
      <formula2>0</formula2>
    </dataValidation>
    <dataValidation allowBlank="true" error="Choose a value from the list (edit the Lists sheet to change the options)." errorStyle="warning" operator="between" showDropDown="false" showErrorMessage="true" showInputMessage="false" sqref="Q5:Q519" type="list">
      <formula1>Lists!$C$2:$C$11</formula1>
      <formula2>0</formula2>
    </dataValidation>
    <dataValidation allowBlank="true" error="Choose a value from the list (edit the Lists sheet to change the options)." errorStyle="warning" operator="between" showDropDown="false" showErrorMessage="true" showInputMessage="false" sqref="R5:R519" type="list">
      <formula1>Lists!$D$2:$D$5</formula1>
      <formula2>0</formula2>
    </dataValidation>
    <dataValidation allowBlank="true" error="Choose a value from the list (edit the Lists sheet to change the options)." errorStyle="warning" operator="between" showDropDown="false" showErrorMessage="true" showInputMessage="false" sqref="T5:T519" type="list">
      <formula1>Lists!$F$2:$F$14</formula1>
      <formula2>0</formula2>
    </dataValidation>
    <dataValidation allowBlank="true" error="Choose a value from the list (edit the Lists sheet to change the options)." errorStyle="warning" operator="between" showDropDown="false" showErrorMessage="true" showInputMessage="false" sqref="W5:W519" type="list">
      <formula1>Lists!$E$2:$E$6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E8C"/>
    <pageSetUpPr fitToPage="true"/>
  </sheetPr>
  <dimension ref="A1:F1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3"/>
    <col collapsed="false" customWidth="true" hidden="false" outlineLevel="0" max="2" min="2" style="0" width="70"/>
    <col collapsed="false" customWidth="true" hidden="false" outlineLevel="0" max="3" min="3" style="0" width="22"/>
    <col collapsed="false" customWidth="true" hidden="false" outlineLevel="0" max="4" min="4" style="0" width="14"/>
    <col collapsed="false" customWidth="true" hidden="false" outlineLevel="0" max="6" min="5" style="0" width="24"/>
  </cols>
  <sheetData>
    <row r="1" customFormat="false" ht="30" hidden="false" customHeight="true" outlineLevel="0" collapsed="false">
      <c r="A1" s="36" t="s">
        <v>1268</v>
      </c>
      <c r="B1" s="37"/>
      <c r="C1" s="37"/>
      <c r="D1" s="37"/>
      <c r="E1" s="37"/>
      <c r="F1" s="37"/>
    </row>
    <row r="2" customFormat="false" ht="15" hidden="false" customHeight="false" outlineLevel="0" collapsed="false">
      <c r="A2" s="3" t="s">
        <v>1269</v>
      </c>
    </row>
    <row r="4" customFormat="false" ht="23.85" hidden="false" customHeight="false" outlineLevel="0" collapsed="false">
      <c r="A4" s="24" t="s">
        <v>21</v>
      </c>
      <c r="B4" s="24" t="s">
        <v>168</v>
      </c>
      <c r="C4" s="24" t="s">
        <v>1163</v>
      </c>
      <c r="D4" s="24" t="s">
        <v>1164</v>
      </c>
      <c r="E4" s="24" t="s">
        <v>1165</v>
      </c>
      <c r="F4" s="24" t="s">
        <v>1166</v>
      </c>
    </row>
    <row r="5" customFormat="false" ht="35.05" hidden="false" customHeight="false" outlineLevel="0" collapsed="false">
      <c r="A5" s="38" t="s">
        <v>191</v>
      </c>
      <c r="B5" s="6" t="s">
        <v>193</v>
      </c>
      <c r="C5" s="6" t="s">
        <v>1171</v>
      </c>
      <c r="D5" s="6" t="s">
        <v>1172</v>
      </c>
      <c r="E5" s="6" t="s">
        <v>1173</v>
      </c>
      <c r="F5" s="6" t="s">
        <v>197</v>
      </c>
    </row>
    <row r="6" customFormat="false" ht="35.05" hidden="false" customHeight="false" outlineLevel="0" collapsed="false">
      <c r="A6" s="38" t="s">
        <v>200</v>
      </c>
      <c r="B6" s="6" t="s">
        <v>202</v>
      </c>
      <c r="C6" s="6" t="s">
        <v>1171</v>
      </c>
      <c r="D6" s="6" t="s">
        <v>1270</v>
      </c>
      <c r="E6" s="6" t="s">
        <v>1173</v>
      </c>
      <c r="F6" s="6" t="s">
        <v>197</v>
      </c>
    </row>
    <row r="7" customFormat="false" ht="35.05" hidden="false" customHeight="false" outlineLevel="0" collapsed="false">
      <c r="A7" s="38" t="s">
        <v>208</v>
      </c>
      <c r="B7" s="6" t="s">
        <v>210</v>
      </c>
      <c r="C7" s="6" t="s">
        <v>1271</v>
      </c>
      <c r="D7" s="6" t="s">
        <v>1172</v>
      </c>
      <c r="E7" s="6" t="s">
        <v>1173</v>
      </c>
      <c r="F7" s="6" t="s">
        <v>1182</v>
      </c>
    </row>
    <row r="8" customFormat="false" ht="35.05" hidden="false" customHeight="false" outlineLevel="0" collapsed="false">
      <c r="A8" s="38" t="s">
        <v>216</v>
      </c>
      <c r="B8" s="6" t="s">
        <v>218</v>
      </c>
      <c r="C8" s="6" t="s">
        <v>1171</v>
      </c>
      <c r="D8" s="6" t="s">
        <v>1172</v>
      </c>
      <c r="E8" s="6" t="s">
        <v>1173</v>
      </c>
      <c r="F8" s="6" t="s">
        <v>197</v>
      </c>
    </row>
    <row r="9" customFormat="false" ht="46.25" hidden="false" customHeight="false" outlineLevel="0" collapsed="false">
      <c r="A9" s="38" t="s">
        <v>224</v>
      </c>
      <c r="B9" s="6" t="s">
        <v>226</v>
      </c>
      <c r="C9" s="6" t="s">
        <v>1171</v>
      </c>
      <c r="D9" s="6" t="s">
        <v>1172</v>
      </c>
      <c r="E9" s="6" t="s">
        <v>1173</v>
      </c>
      <c r="F9" s="6" t="s">
        <v>197</v>
      </c>
    </row>
    <row r="10" customFormat="false" ht="35.05" hidden="false" customHeight="false" outlineLevel="0" collapsed="false">
      <c r="A10" s="38" t="s">
        <v>231</v>
      </c>
      <c r="B10" s="6" t="s">
        <v>233</v>
      </c>
      <c r="C10" s="6" t="s">
        <v>1171</v>
      </c>
      <c r="D10" s="6" t="s">
        <v>1172</v>
      </c>
      <c r="E10" s="6" t="s">
        <v>1173</v>
      </c>
      <c r="F10" s="6" t="s">
        <v>197</v>
      </c>
    </row>
    <row r="11" customFormat="false" ht="23.85" hidden="false" customHeight="false" outlineLevel="0" collapsed="false">
      <c r="A11" s="38" t="s">
        <v>238</v>
      </c>
      <c r="B11" s="6" t="s">
        <v>240</v>
      </c>
      <c r="C11" s="6" t="s">
        <v>1171</v>
      </c>
      <c r="D11" s="6" t="s">
        <v>1272</v>
      </c>
      <c r="E11" s="6" t="s">
        <v>1273</v>
      </c>
      <c r="F11" s="6" t="s">
        <v>197</v>
      </c>
    </row>
    <row r="12" customFormat="false" ht="23.85" hidden="false" customHeight="false" outlineLevel="0" collapsed="false">
      <c r="A12" s="38" t="s">
        <v>245</v>
      </c>
      <c r="B12" s="6" t="s">
        <v>247</v>
      </c>
      <c r="C12" s="6" t="s">
        <v>1171</v>
      </c>
      <c r="D12" s="6" t="s">
        <v>1172</v>
      </c>
      <c r="E12" s="6" t="s">
        <v>1173</v>
      </c>
      <c r="F12" s="6" t="s">
        <v>197</v>
      </c>
    </row>
    <row r="13" customFormat="false" ht="35.05" hidden="false" customHeight="false" outlineLevel="0" collapsed="false">
      <c r="A13" s="38" t="s">
        <v>251</v>
      </c>
      <c r="B13" s="6" t="s">
        <v>253</v>
      </c>
      <c r="C13" s="6" t="s">
        <v>1171</v>
      </c>
      <c r="D13" s="6" t="s">
        <v>1172</v>
      </c>
      <c r="E13" s="6" t="s">
        <v>1173</v>
      </c>
      <c r="F13" s="6" t="s">
        <v>197</v>
      </c>
    </row>
    <row r="14" customFormat="false" ht="23.85" hidden="false" customHeight="false" outlineLevel="0" collapsed="false">
      <c r="A14" s="38" t="s">
        <v>259</v>
      </c>
      <c r="B14" s="6" t="s">
        <v>261</v>
      </c>
      <c r="C14" s="6" t="s">
        <v>1171</v>
      </c>
      <c r="D14" s="6" t="s">
        <v>1172</v>
      </c>
      <c r="E14" s="6" t="s">
        <v>1173</v>
      </c>
      <c r="F14" s="6" t="s">
        <v>197</v>
      </c>
    </row>
    <row r="15" customFormat="false" ht="23.85" hidden="false" customHeight="false" outlineLevel="0" collapsed="false">
      <c r="A15" s="38" t="s">
        <v>265</v>
      </c>
      <c r="B15" s="6" t="s">
        <v>267</v>
      </c>
      <c r="C15" s="6" t="s">
        <v>1171</v>
      </c>
      <c r="D15" s="6" t="s">
        <v>1172</v>
      </c>
      <c r="E15" s="6" t="s">
        <v>1173</v>
      </c>
      <c r="F15" s="6" t="s">
        <v>197</v>
      </c>
    </row>
    <row r="16" customFormat="false" ht="23.85" hidden="false" customHeight="false" outlineLevel="0" collapsed="false">
      <c r="A16" s="38" t="s">
        <v>274</v>
      </c>
      <c r="B16" s="6" t="s">
        <v>276</v>
      </c>
      <c r="C16" s="6" t="s">
        <v>1171</v>
      </c>
      <c r="D16" s="6" t="s">
        <v>1202</v>
      </c>
      <c r="E16" s="6" t="s">
        <v>1173</v>
      </c>
      <c r="F16" s="6" t="s">
        <v>197</v>
      </c>
    </row>
    <row r="17" customFormat="false" ht="35.05" hidden="false" customHeight="false" outlineLevel="0" collapsed="false">
      <c r="A17" s="38" t="s">
        <v>280</v>
      </c>
      <c r="B17" s="6" t="s">
        <v>282</v>
      </c>
      <c r="C17" s="6" t="s">
        <v>1171</v>
      </c>
      <c r="D17" s="6" t="s">
        <v>1274</v>
      </c>
      <c r="E17" s="6" t="s">
        <v>1275</v>
      </c>
      <c r="F17" s="6" t="s">
        <v>197</v>
      </c>
    </row>
    <row r="18" customFormat="false" ht="35.05" hidden="false" customHeight="false" outlineLevel="0" collapsed="false">
      <c r="A18" s="38" t="s">
        <v>286</v>
      </c>
      <c r="B18" s="6" t="s">
        <v>288</v>
      </c>
      <c r="C18" s="6" t="s">
        <v>1171</v>
      </c>
      <c r="D18" s="6" t="s">
        <v>1274</v>
      </c>
      <c r="E18" s="6" t="s">
        <v>1275</v>
      </c>
      <c r="F18" s="6" t="s">
        <v>1276</v>
      </c>
    </row>
    <row r="19" customFormat="false" ht="35.05" hidden="false" customHeight="false" outlineLevel="0" collapsed="false">
      <c r="A19" s="38" t="s">
        <v>293</v>
      </c>
      <c r="B19" s="6" t="s">
        <v>295</v>
      </c>
      <c r="C19" s="6" t="s">
        <v>1171</v>
      </c>
      <c r="D19" s="6" t="s">
        <v>1274</v>
      </c>
      <c r="E19" s="6" t="s">
        <v>1275</v>
      </c>
      <c r="F19" s="6" t="s">
        <v>197</v>
      </c>
    </row>
    <row r="20" customFormat="false" ht="23.85" hidden="false" customHeight="false" outlineLevel="0" collapsed="false">
      <c r="A20" s="38" t="s">
        <v>299</v>
      </c>
      <c r="B20" s="6" t="s">
        <v>301</v>
      </c>
      <c r="C20" s="6" t="s">
        <v>1171</v>
      </c>
      <c r="D20" s="6" t="s">
        <v>1274</v>
      </c>
      <c r="E20" s="6" t="s">
        <v>1275</v>
      </c>
      <c r="F20" s="6" t="s">
        <v>1276</v>
      </c>
    </row>
    <row r="21" customFormat="false" ht="35.05" hidden="false" customHeight="false" outlineLevel="0" collapsed="false">
      <c r="A21" s="38" t="s">
        <v>307</v>
      </c>
      <c r="B21" s="6" t="s">
        <v>309</v>
      </c>
      <c r="C21" s="6" t="s">
        <v>1171</v>
      </c>
      <c r="D21" s="6" t="s">
        <v>1274</v>
      </c>
      <c r="E21" s="6" t="s">
        <v>1275</v>
      </c>
      <c r="F21" s="6" t="s">
        <v>197</v>
      </c>
    </row>
    <row r="22" customFormat="false" ht="23.85" hidden="false" customHeight="false" outlineLevel="0" collapsed="false">
      <c r="A22" s="38" t="s">
        <v>316</v>
      </c>
      <c r="B22" s="6" t="s">
        <v>318</v>
      </c>
      <c r="C22" s="6" t="s">
        <v>1171</v>
      </c>
      <c r="D22" s="6" t="s">
        <v>1274</v>
      </c>
      <c r="E22" s="6" t="s">
        <v>1275</v>
      </c>
      <c r="F22" s="6" t="s">
        <v>197</v>
      </c>
    </row>
    <row r="23" customFormat="false" ht="23.85" hidden="false" customHeight="false" outlineLevel="0" collapsed="false">
      <c r="A23" s="38" t="s">
        <v>325</v>
      </c>
      <c r="B23" s="6" t="s">
        <v>327</v>
      </c>
      <c r="C23" s="6" t="s">
        <v>1277</v>
      </c>
      <c r="D23" s="6" t="s">
        <v>1274</v>
      </c>
      <c r="E23" s="6" t="s">
        <v>1275</v>
      </c>
      <c r="F23" s="6" t="s">
        <v>197</v>
      </c>
    </row>
    <row r="24" customFormat="false" ht="23.85" hidden="false" customHeight="false" outlineLevel="0" collapsed="false">
      <c r="A24" s="38" t="s">
        <v>331</v>
      </c>
      <c r="B24" s="6" t="s">
        <v>333</v>
      </c>
      <c r="C24" s="6" t="s">
        <v>1277</v>
      </c>
      <c r="D24" s="6" t="s">
        <v>1274</v>
      </c>
      <c r="E24" s="6" t="s">
        <v>1275</v>
      </c>
      <c r="F24" s="6" t="s">
        <v>197</v>
      </c>
    </row>
    <row r="25" customFormat="false" ht="35.05" hidden="false" customHeight="false" outlineLevel="0" collapsed="false">
      <c r="A25" s="38" t="s">
        <v>337</v>
      </c>
      <c r="B25" s="6" t="s">
        <v>339</v>
      </c>
      <c r="C25" s="6" t="s">
        <v>1171</v>
      </c>
      <c r="D25" s="6" t="s">
        <v>1274</v>
      </c>
      <c r="E25" s="6" t="s">
        <v>1275</v>
      </c>
      <c r="F25" s="6" t="s">
        <v>197</v>
      </c>
    </row>
    <row r="26" customFormat="false" ht="35.05" hidden="false" customHeight="false" outlineLevel="0" collapsed="false">
      <c r="A26" s="38" t="s">
        <v>343</v>
      </c>
      <c r="B26" s="6" t="s">
        <v>345</v>
      </c>
      <c r="C26" s="6" t="s">
        <v>1171</v>
      </c>
      <c r="D26" s="6" t="s">
        <v>1274</v>
      </c>
      <c r="E26" s="6" t="s">
        <v>1275</v>
      </c>
      <c r="F26" s="6" t="s">
        <v>1278</v>
      </c>
    </row>
    <row r="27" customFormat="false" ht="35.05" hidden="false" customHeight="false" outlineLevel="0" collapsed="false">
      <c r="A27" s="38" t="s">
        <v>350</v>
      </c>
      <c r="B27" s="6" t="s">
        <v>352</v>
      </c>
      <c r="C27" s="6" t="s">
        <v>1171</v>
      </c>
      <c r="D27" s="6" t="s">
        <v>1279</v>
      </c>
      <c r="E27" s="6" t="s">
        <v>1181</v>
      </c>
      <c r="F27" s="6" t="s">
        <v>1280</v>
      </c>
    </row>
    <row r="28" customFormat="false" ht="23.85" hidden="false" customHeight="false" outlineLevel="0" collapsed="false">
      <c r="A28" s="38" t="s">
        <v>357</v>
      </c>
      <c r="B28" s="6" t="s">
        <v>359</v>
      </c>
      <c r="C28" s="6" t="s">
        <v>1171</v>
      </c>
      <c r="D28" s="6" t="s">
        <v>1279</v>
      </c>
      <c r="E28" s="6" t="s">
        <v>1181</v>
      </c>
      <c r="F28" s="6" t="s">
        <v>1281</v>
      </c>
    </row>
    <row r="29" customFormat="false" ht="35.05" hidden="false" customHeight="false" outlineLevel="0" collapsed="false">
      <c r="A29" s="38" t="s">
        <v>364</v>
      </c>
      <c r="B29" s="6" t="s">
        <v>366</v>
      </c>
      <c r="C29" s="6" t="s">
        <v>1282</v>
      </c>
      <c r="D29" s="6" t="s">
        <v>1279</v>
      </c>
      <c r="E29" s="6" t="s">
        <v>1181</v>
      </c>
      <c r="F29" s="6" t="s">
        <v>1283</v>
      </c>
    </row>
    <row r="30" customFormat="false" ht="35.05" hidden="false" customHeight="false" outlineLevel="0" collapsed="false">
      <c r="A30" s="38" t="s">
        <v>373</v>
      </c>
      <c r="B30" s="6" t="s">
        <v>375</v>
      </c>
      <c r="C30" s="6" t="s">
        <v>1282</v>
      </c>
      <c r="D30" s="6" t="s">
        <v>1279</v>
      </c>
      <c r="E30" s="6" t="s">
        <v>1181</v>
      </c>
      <c r="F30" s="6" t="s">
        <v>1278</v>
      </c>
    </row>
    <row r="31" customFormat="false" ht="35.05" hidden="false" customHeight="false" outlineLevel="0" collapsed="false">
      <c r="A31" s="38" t="s">
        <v>381</v>
      </c>
      <c r="B31" s="6" t="s">
        <v>383</v>
      </c>
      <c r="C31" s="6" t="s">
        <v>1282</v>
      </c>
      <c r="D31" s="6" t="s">
        <v>1279</v>
      </c>
      <c r="E31" s="6" t="s">
        <v>1181</v>
      </c>
      <c r="F31" s="6" t="s">
        <v>1278</v>
      </c>
    </row>
    <row r="32" customFormat="false" ht="35.05" hidden="false" customHeight="false" outlineLevel="0" collapsed="false">
      <c r="A32" s="38" t="s">
        <v>388</v>
      </c>
      <c r="B32" s="6" t="s">
        <v>390</v>
      </c>
      <c r="C32" s="6" t="s">
        <v>1282</v>
      </c>
      <c r="D32" s="6" t="s">
        <v>1279</v>
      </c>
      <c r="E32" s="6" t="s">
        <v>1181</v>
      </c>
      <c r="F32" s="6" t="s">
        <v>1284</v>
      </c>
    </row>
    <row r="33" customFormat="false" ht="35.05" hidden="false" customHeight="false" outlineLevel="0" collapsed="false">
      <c r="A33" s="38" t="s">
        <v>395</v>
      </c>
      <c r="B33" s="6" t="s">
        <v>397</v>
      </c>
      <c r="C33" s="6" t="s">
        <v>1282</v>
      </c>
      <c r="D33" s="6" t="s">
        <v>1285</v>
      </c>
      <c r="E33" s="6" t="s">
        <v>1181</v>
      </c>
      <c r="F33" s="6" t="s">
        <v>1286</v>
      </c>
    </row>
    <row r="34" customFormat="false" ht="23.85" hidden="false" customHeight="false" outlineLevel="0" collapsed="false">
      <c r="A34" s="38" t="s">
        <v>403</v>
      </c>
      <c r="B34" s="6" t="s">
        <v>405</v>
      </c>
      <c r="C34" s="6" t="s">
        <v>1282</v>
      </c>
      <c r="D34" s="6" t="s">
        <v>1285</v>
      </c>
      <c r="E34" s="6" t="s">
        <v>1181</v>
      </c>
      <c r="F34" s="6" t="s">
        <v>1286</v>
      </c>
    </row>
    <row r="35" customFormat="false" ht="35.05" hidden="false" customHeight="false" outlineLevel="0" collapsed="false">
      <c r="A35" s="38" t="s">
        <v>408</v>
      </c>
      <c r="B35" s="6" t="s">
        <v>410</v>
      </c>
      <c r="C35" s="6" t="s">
        <v>1282</v>
      </c>
      <c r="D35" s="6" t="s">
        <v>1279</v>
      </c>
      <c r="E35" s="6" t="s">
        <v>1196</v>
      </c>
      <c r="F35" s="6" t="s">
        <v>1287</v>
      </c>
    </row>
    <row r="36" customFormat="false" ht="35.05" hidden="false" customHeight="false" outlineLevel="0" collapsed="false">
      <c r="A36" s="38" t="s">
        <v>415</v>
      </c>
      <c r="B36" s="6" t="s">
        <v>417</v>
      </c>
      <c r="C36" s="6" t="s">
        <v>1282</v>
      </c>
      <c r="D36" s="6" t="s">
        <v>1288</v>
      </c>
      <c r="E36" s="6" t="s">
        <v>1181</v>
      </c>
      <c r="F36" s="6" t="s">
        <v>1289</v>
      </c>
    </row>
    <row r="37" customFormat="false" ht="35.05" hidden="false" customHeight="false" outlineLevel="0" collapsed="false">
      <c r="A37" s="38" t="s">
        <v>421</v>
      </c>
      <c r="B37" s="6" t="s">
        <v>423</v>
      </c>
      <c r="C37" s="6" t="s">
        <v>1171</v>
      </c>
      <c r="D37" s="6" t="s">
        <v>1180</v>
      </c>
      <c r="E37" s="6" t="s">
        <v>1181</v>
      </c>
      <c r="F37" s="6" t="s">
        <v>1290</v>
      </c>
    </row>
    <row r="38" customFormat="false" ht="23.85" hidden="false" customHeight="false" outlineLevel="0" collapsed="false">
      <c r="A38" s="38" t="s">
        <v>427</v>
      </c>
      <c r="B38" s="6" t="s">
        <v>429</v>
      </c>
      <c r="C38" s="6" t="s">
        <v>1171</v>
      </c>
      <c r="D38" s="6" t="s">
        <v>1291</v>
      </c>
      <c r="E38" s="6" t="s">
        <v>1181</v>
      </c>
      <c r="F38" s="6" t="s">
        <v>1292</v>
      </c>
    </row>
    <row r="39" customFormat="false" ht="23.85" hidden="false" customHeight="false" outlineLevel="0" collapsed="false">
      <c r="A39" s="38" t="s">
        <v>432</v>
      </c>
      <c r="B39" s="6" t="s">
        <v>434</v>
      </c>
      <c r="C39" s="6" t="s">
        <v>1282</v>
      </c>
      <c r="D39" s="6" t="s">
        <v>1293</v>
      </c>
      <c r="E39" s="6" t="s">
        <v>1181</v>
      </c>
      <c r="F39" s="6" t="s">
        <v>1286</v>
      </c>
    </row>
    <row r="40" customFormat="false" ht="35.05" hidden="false" customHeight="false" outlineLevel="0" collapsed="false">
      <c r="A40" s="38" t="s">
        <v>439</v>
      </c>
      <c r="B40" s="6" t="s">
        <v>441</v>
      </c>
      <c r="C40" s="6" t="s">
        <v>1282</v>
      </c>
      <c r="D40" s="6" t="s">
        <v>1279</v>
      </c>
      <c r="E40" s="6" t="s">
        <v>1181</v>
      </c>
      <c r="F40" s="6" t="s">
        <v>1286</v>
      </c>
    </row>
    <row r="41" customFormat="false" ht="35.05" hidden="false" customHeight="false" outlineLevel="0" collapsed="false">
      <c r="A41" s="38" t="s">
        <v>444</v>
      </c>
      <c r="B41" s="6" t="s">
        <v>446</v>
      </c>
      <c r="C41" s="6" t="s">
        <v>1282</v>
      </c>
      <c r="D41" s="6" t="s">
        <v>1279</v>
      </c>
      <c r="E41" s="6" t="s">
        <v>1181</v>
      </c>
      <c r="F41" s="6" t="s">
        <v>197</v>
      </c>
    </row>
    <row r="42" customFormat="false" ht="23.85" hidden="false" customHeight="false" outlineLevel="0" collapsed="false">
      <c r="A42" s="38" t="s">
        <v>452</v>
      </c>
      <c r="B42" s="6" t="s">
        <v>454</v>
      </c>
      <c r="C42" s="6" t="s">
        <v>1282</v>
      </c>
      <c r="D42" s="6" t="s">
        <v>1279</v>
      </c>
      <c r="E42" s="6" t="s">
        <v>1181</v>
      </c>
      <c r="F42" s="6" t="s">
        <v>1278</v>
      </c>
    </row>
    <row r="43" customFormat="false" ht="35.05" hidden="false" customHeight="false" outlineLevel="0" collapsed="false">
      <c r="A43" s="38" t="s">
        <v>459</v>
      </c>
      <c r="B43" s="6" t="s">
        <v>461</v>
      </c>
      <c r="C43" s="6" t="s">
        <v>1282</v>
      </c>
      <c r="D43" s="6" t="s">
        <v>1294</v>
      </c>
      <c r="E43" s="6" t="s">
        <v>1295</v>
      </c>
      <c r="F43" s="6" t="s">
        <v>197</v>
      </c>
    </row>
    <row r="44" customFormat="false" ht="23.85" hidden="false" customHeight="false" outlineLevel="0" collapsed="false">
      <c r="A44" s="38" t="s">
        <v>466</v>
      </c>
      <c r="B44" s="6" t="s">
        <v>468</v>
      </c>
      <c r="C44" s="6" t="s">
        <v>1282</v>
      </c>
      <c r="D44" s="6" t="s">
        <v>1294</v>
      </c>
      <c r="E44" s="6" t="s">
        <v>1295</v>
      </c>
      <c r="F44" s="6" t="s">
        <v>197</v>
      </c>
    </row>
    <row r="45" customFormat="false" ht="35.05" hidden="false" customHeight="false" outlineLevel="0" collapsed="false">
      <c r="A45" s="38" t="s">
        <v>472</v>
      </c>
      <c r="B45" s="6" t="s">
        <v>474</v>
      </c>
      <c r="C45" s="6" t="s">
        <v>1282</v>
      </c>
      <c r="D45" s="6" t="s">
        <v>1294</v>
      </c>
      <c r="E45" s="6" t="s">
        <v>1295</v>
      </c>
      <c r="F45" s="6" t="s">
        <v>197</v>
      </c>
    </row>
    <row r="46" customFormat="false" ht="35.05" hidden="false" customHeight="false" outlineLevel="0" collapsed="false">
      <c r="A46" s="38" t="s">
        <v>480</v>
      </c>
      <c r="B46" s="6" t="s">
        <v>482</v>
      </c>
      <c r="C46" s="6" t="s">
        <v>1271</v>
      </c>
      <c r="D46" s="6" t="s">
        <v>1294</v>
      </c>
      <c r="E46" s="6" t="s">
        <v>1227</v>
      </c>
      <c r="F46" s="6" t="s">
        <v>197</v>
      </c>
    </row>
    <row r="47" customFormat="false" ht="23.85" hidden="false" customHeight="false" outlineLevel="0" collapsed="false">
      <c r="A47" s="38" t="s">
        <v>488</v>
      </c>
      <c r="B47" s="6" t="s">
        <v>490</v>
      </c>
      <c r="C47" s="6" t="s">
        <v>1282</v>
      </c>
      <c r="D47" s="6" t="s">
        <v>1296</v>
      </c>
      <c r="E47" s="6" t="s">
        <v>1295</v>
      </c>
      <c r="F47" s="6" t="s">
        <v>197</v>
      </c>
    </row>
    <row r="48" customFormat="false" ht="35.05" hidden="false" customHeight="false" outlineLevel="0" collapsed="false">
      <c r="A48" s="38" t="s">
        <v>494</v>
      </c>
      <c r="B48" s="6" t="s">
        <v>496</v>
      </c>
      <c r="C48" s="6" t="s">
        <v>1282</v>
      </c>
      <c r="D48" s="6" t="s">
        <v>1294</v>
      </c>
      <c r="E48" s="6" t="s">
        <v>1295</v>
      </c>
      <c r="F48" s="6" t="s">
        <v>197</v>
      </c>
    </row>
    <row r="49" customFormat="false" ht="23.85" hidden="false" customHeight="false" outlineLevel="0" collapsed="false">
      <c r="A49" s="38" t="s">
        <v>500</v>
      </c>
      <c r="B49" s="6" t="s">
        <v>502</v>
      </c>
      <c r="C49" s="6" t="s">
        <v>1297</v>
      </c>
      <c r="D49" s="6" t="s">
        <v>1294</v>
      </c>
      <c r="E49" s="6" t="s">
        <v>1295</v>
      </c>
      <c r="F49" s="6" t="s">
        <v>197</v>
      </c>
    </row>
    <row r="50" customFormat="false" ht="23.85" hidden="false" customHeight="false" outlineLevel="0" collapsed="false">
      <c r="A50" s="38" t="s">
        <v>506</v>
      </c>
      <c r="B50" s="6" t="s">
        <v>508</v>
      </c>
      <c r="C50" s="6" t="s">
        <v>1297</v>
      </c>
      <c r="D50" s="6" t="s">
        <v>1294</v>
      </c>
      <c r="E50" s="6" t="s">
        <v>1295</v>
      </c>
      <c r="F50" s="6" t="s">
        <v>197</v>
      </c>
    </row>
    <row r="51" customFormat="false" ht="23.85" hidden="false" customHeight="false" outlineLevel="0" collapsed="false">
      <c r="A51" s="38" t="s">
        <v>512</v>
      </c>
      <c r="B51" s="6" t="s">
        <v>514</v>
      </c>
      <c r="C51" s="6" t="s">
        <v>1282</v>
      </c>
      <c r="D51" s="6" t="s">
        <v>1294</v>
      </c>
      <c r="E51" s="6" t="s">
        <v>1255</v>
      </c>
      <c r="F51" s="6" t="s">
        <v>197</v>
      </c>
    </row>
    <row r="52" customFormat="false" ht="23.85" hidden="false" customHeight="false" outlineLevel="0" collapsed="false">
      <c r="A52" s="38" t="s">
        <v>520</v>
      </c>
      <c r="B52" s="6" t="s">
        <v>522</v>
      </c>
      <c r="C52" s="6" t="s">
        <v>1277</v>
      </c>
      <c r="D52" s="6" t="s">
        <v>1294</v>
      </c>
      <c r="E52" s="6" t="s">
        <v>1295</v>
      </c>
      <c r="F52" s="6" t="s">
        <v>197</v>
      </c>
    </row>
    <row r="53" customFormat="false" ht="23.85" hidden="false" customHeight="false" outlineLevel="0" collapsed="false">
      <c r="A53" s="38" t="s">
        <v>526</v>
      </c>
      <c r="B53" s="6" t="s">
        <v>528</v>
      </c>
      <c r="C53" s="6" t="s">
        <v>1282</v>
      </c>
      <c r="D53" s="6" t="s">
        <v>1294</v>
      </c>
      <c r="E53" s="6" t="s">
        <v>1295</v>
      </c>
      <c r="F53" s="6" t="s">
        <v>197</v>
      </c>
    </row>
    <row r="54" customFormat="false" ht="35.05" hidden="false" customHeight="false" outlineLevel="0" collapsed="false">
      <c r="A54" s="38" t="s">
        <v>533</v>
      </c>
      <c r="B54" s="6" t="s">
        <v>535</v>
      </c>
      <c r="C54" s="6" t="s">
        <v>1171</v>
      </c>
      <c r="D54" s="6" t="s">
        <v>1296</v>
      </c>
      <c r="E54" s="6" t="s">
        <v>1295</v>
      </c>
      <c r="F54" s="6" t="s">
        <v>197</v>
      </c>
    </row>
    <row r="55" customFormat="false" ht="35.05" hidden="false" customHeight="false" outlineLevel="0" collapsed="false">
      <c r="A55" s="38" t="s">
        <v>539</v>
      </c>
      <c r="B55" s="6" t="s">
        <v>541</v>
      </c>
      <c r="C55" s="6" t="s">
        <v>1282</v>
      </c>
      <c r="D55" s="6" t="s">
        <v>1294</v>
      </c>
      <c r="E55" s="6" t="s">
        <v>1295</v>
      </c>
      <c r="F55" s="6" t="s">
        <v>197</v>
      </c>
    </row>
    <row r="56" customFormat="false" ht="35.05" hidden="false" customHeight="false" outlineLevel="0" collapsed="false">
      <c r="A56" s="38" t="s">
        <v>546</v>
      </c>
      <c r="B56" s="6" t="s">
        <v>548</v>
      </c>
      <c r="C56" s="6" t="s">
        <v>1282</v>
      </c>
      <c r="D56" s="6" t="s">
        <v>1294</v>
      </c>
      <c r="E56" s="6" t="s">
        <v>1295</v>
      </c>
      <c r="F56" s="6" t="s">
        <v>197</v>
      </c>
    </row>
    <row r="57" customFormat="false" ht="23.85" hidden="false" customHeight="false" outlineLevel="0" collapsed="false">
      <c r="A57" s="38" t="s">
        <v>552</v>
      </c>
      <c r="B57" s="6" t="s">
        <v>554</v>
      </c>
      <c r="C57" s="6" t="s">
        <v>1171</v>
      </c>
      <c r="D57" s="6" t="s">
        <v>1202</v>
      </c>
      <c r="E57" s="6" t="s">
        <v>1196</v>
      </c>
      <c r="F57" s="6" t="s">
        <v>197</v>
      </c>
    </row>
    <row r="58" customFormat="false" ht="35.05" hidden="false" customHeight="false" outlineLevel="0" collapsed="false">
      <c r="A58" s="38" t="s">
        <v>556</v>
      </c>
      <c r="B58" s="6" t="s">
        <v>558</v>
      </c>
      <c r="C58" s="6" t="s">
        <v>1171</v>
      </c>
      <c r="D58" s="6" t="s">
        <v>1298</v>
      </c>
      <c r="E58" s="6" t="s">
        <v>1196</v>
      </c>
      <c r="F58" s="6" t="s">
        <v>197</v>
      </c>
    </row>
    <row r="59" customFormat="false" ht="23.85" hidden="false" customHeight="false" outlineLevel="0" collapsed="false">
      <c r="A59" s="38" t="s">
        <v>562</v>
      </c>
      <c r="B59" s="6" t="s">
        <v>564</v>
      </c>
      <c r="C59" s="6" t="s">
        <v>1171</v>
      </c>
      <c r="D59" s="6" t="s">
        <v>1195</v>
      </c>
      <c r="E59" s="6" t="s">
        <v>1196</v>
      </c>
      <c r="F59" s="6" t="s">
        <v>1299</v>
      </c>
    </row>
    <row r="60" customFormat="false" ht="35.05" hidden="false" customHeight="false" outlineLevel="0" collapsed="false">
      <c r="A60" s="38" t="s">
        <v>569</v>
      </c>
      <c r="B60" s="6" t="s">
        <v>571</v>
      </c>
      <c r="C60" s="6" t="s">
        <v>1171</v>
      </c>
      <c r="D60" s="6" t="s">
        <v>1202</v>
      </c>
      <c r="E60" s="6" t="s">
        <v>1196</v>
      </c>
      <c r="F60" s="6" t="s">
        <v>1299</v>
      </c>
    </row>
    <row r="61" customFormat="false" ht="35.05" hidden="false" customHeight="false" outlineLevel="0" collapsed="false">
      <c r="A61" s="38" t="s">
        <v>575</v>
      </c>
      <c r="B61" s="6" t="s">
        <v>577</v>
      </c>
      <c r="C61" s="6" t="s">
        <v>1171</v>
      </c>
      <c r="D61" s="6" t="s">
        <v>1202</v>
      </c>
      <c r="E61" s="6" t="s">
        <v>1196</v>
      </c>
      <c r="F61" s="6" t="s">
        <v>197</v>
      </c>
    </row>
    <row r="62" customFormat="false" ht="35.05" hidden="false" customHeight="false" outlineLevel="0" collapsed="false">
      <c r="A62" s="38" t="s">
        <v>580</v>
      </c>
      <c r="B62" s="6" t="s">
        <v>582</v>
      </c>
      <c r="C62" s="6" t="s">
        <v>1171</v>
      </c>
      <c r="D62" s="6" t="s">
        <v>1202</v>
      </c>
      <c r="E62" s="6" t="s">
        <v>1196</v>
      </c>
      <c r="F62" s="6" t="s">
        <v>197</v>
      </c>
    </row>
    <row r="63" customFormat="false" ht="23.85" hidden="false" customHeight="false" outlineLevel="0" collapsed="false">
      <c r="A63" s="38" t="s">
        <v>585</v>
      </c>
      <c r="B63" s="6" t="s">
        <v>587</v>
      </c>
      <c r="C63" s="6" t="s">
        <v>1171</v>
      </c>
      <c r="D63" s="6" t="s">
        <v>1202</v>
      </c>
      <c r="E63" s="6" t="s">
        <v>1196</v>
      </c>
      <c r="F63" s="6" t="s">
        <v>197</v>
      </c>
    </row>
    <row r="64" customFormat="false" ht="35.05" hidden="false" customHeight="false" outlineLevel="0" collapsed="false">
      <c r="A64" s="38" t="s">
        <v>591</v>
      </c>
      <c r="B64" s="6" t="s">
        <v>593</v>
      </c>
      <c r="C64" s="6" t="s">
        <v>1271</v>
      </c>
      <c r="D64" s="6" t="s">
        <v>1202</v>
      </c>
      <c r="E64" s="6" t="s">
        <v>1196</v>
      </c>
      <c r="F64" s="6" t="s">
        <v>197</v>
      </c>
    </row>
    <row r="65" customFormat="false" ht="35.05" hidden="false" customHeight="false" outlineLevel="0" collapsed="false">
      <c r="A65" s="38" t="s">
        <v>596</v>
      </c>
      <c r="B65" s="6" t="s">
        <v>598</v>
      </c>
      <c r="C65" s="6" t="s">
        <v>1271</v>
      </c>
      <c r="D65" s="6" t="s">
        <v>1202</v>
      </c>
      <c r="E65" s="6" t="s">
        <v>1196</v>
      </c>
      <c r="F65" s="6" t="s">
        <v>197</v>
      </c>
    </row>
    <row r="66" customFormat="false" ht="23.85" hidden="false" customHeight="false" outlineLevel="0" collapsed="false">
      <c r="A66" s="38" t="s">
        <v>603</v>
      </c>
      <c r="B66" s="6" t="s">
        <v>605</v>
      </c>
      <c r="C66" s="6" t="s">
        <v>1171</v>
      </c>
      <c r="D66" s="6" t="s">
        <v>1300</v>
      </c>
      <c r="E66" s="6" t="s">
        <v>1196</v>
      </c>
      <c r="F66" s="6" t="s">
        <v>197</v>
      </c>
    </row>
    <row r="67" customFormat="false" ht="35.05" hidden="false" customHeight="false" outlineLevel="0" collapsed="false">
      <c r="A67" s="38" t="s">
        <v>610</v>
      </c>
      <c r="B67" s="6" t="s">
        <v>612</v>
      </c>
      <c r="C67" s="6" t="s">
        <v>1171</v>
      </c>
      <c r="D67" s="6" t="s">
        <v>1202</v>
      </c>
      <c r="E67" s="6" t="s">
        <v>1196</v>
      </c>
      <c r="F67" s="6" t="s">
        <v>197</v>
      </c>
    </row>
    <row r="68" customFormat="false" ht="23.85" hidden="false" customHeight="false" outlineLevel="0" collapsed="false">
      <c r="A68" s="38" t="s">
        <v>616</v>
      </c>
      <c r="B68" s="6" t="s">
        <v>618</v>
      </c>
      <c r="C68" s="6" t="s">
        <v>1171</v>
      </c>
      <c r="D68" s="6" t="s">
        <v>1301</v>
      </c>
      <c r="E68" s="6" t="s">
        <v>1196</v>
      </c>
      <c r="F68" s="6" t="s">
        <v>197</v>
      </c>
    </row>
    <row r="69" customFormat="false" ht="35.05" hidden="false" customHeight="false" outlineLevel="0" collapsed="false">
      <c r="A69" s="38" t="s">
        <v>620</v>
      </c>
      <c r="B69" s="6" t="s">
        <v>622</v>
      </c>
      <c r="C69" s="6" t="s">
        <v>1277</v>
      </c>
      <c r="D69" s="6" t="s">
        <v>1296</v>
      </c>
      <c r="E69" s="6" t="s">
        <v>1302</v>
      </c>
      <c r="F69" s="6" t="s">
        <v>197</v>
      </c>
    </row>
    <row r="70" customFormat="false" ht="35.05" hidden="false" customHeight="false" outlineLevel="0" collapsed="false">
      <c r="A70" s="38" t="s">
        <v>624</v>
      </c>
      <c r="B70" s="6" t="s">
        <v>626</v>
      </c>
      <c r="C70" s="6" t="s">
        <v>1277</v>
      </c>
      <c r="D70" s="6" t="s">
        <v>1296</v>
      </c>
      <c r="E70" s="6" t="s">
        <v>1302</v>
      </c>
      <c r="F70" s="6" t="s">
        <v>197</v>
      </c>
    </row>
    <row r="71" customFormat="false" ht="35.05" hidden="false" customHeight="false" outlineLevel="0" collapsed="false">
      <c r="A71" s="38" t="s">
        <v>630</v>
      </c>
      <c r="B71" s="6" t="s">
        <v>632</v>
      </c>
      <c r="C71" s="6" t="s">
        <v>1277</v>
      </c>
      <c r="D71" s="6" t="s">
        <v>1296</v>
      </c>
      <c r="E71" s="6" t="s">
        <v>1302</v>
      </c>
      <c r="F71" s="6" t="s">
        <v>197</v>
      </c>
    </row>
    <row r="72" customFormat="false" ht="23.85" hidden="false" customHeight="false" outlineLevel="0" collapsed="false">
      <c r="A72" s="38" t="s">
        <v>636</v>
      </c>
      <c r="B72" s="6" t="s">
        <v>638</v>
      </c>
      <c r="C72" s="6" t="s">
        <v>1277</v>
      </c>
      <c r="D72" s="6" t="s">
        <v>1296</v>
      </c>
      <c r="E72" s="6" t="s">
        <v>1302</v>
      </c>
      <c r="F72" s="6" t="s">
        <v>197</v>
      </c>
    </row>
    <row r="73" customFormat="false" ht="23.85" hidden="false" customHeight="false" outlineLevel="0" collapsed="false">
      <c r="A73" s="38" t="s">
        <v>640</v>
      </c>
      <c r="B73" s="6" t="s">
        <v>642</v>
      </c>
      <c r="C73" s="6" t="s">
        <v>1277</v>
      </c>
      <c r="D73" s="6" t="s">
        <v>1296</v>
      </c>
      <c r="E73" s="6" t="s">
        <v>1302</v>
      </c>
      <c r="F73" s="6" t="s">
        <v>197</v>
      </c>
    </row>
    <row r="74" customFormat="false" ht="35.05" hidden="false" customHeight="false" outlineLevel="0" collapsed="false">
      <c r="A74" s="38" t="s">
        <v>646</v>
      </c>
      <c r="B74" s="6" t="s">
        <v>648</v>
      </c>
      <c r="C74" s="6" t="s">
        <v>1271</v>
      </c>
      <c r="D74" s="6" t="s">
        <v>1296</v>
      </c>
      <c r="E74" s="6" t="s">
        <v>1302</v>
      </c>
      <c r="F74" s="6" t="s">
        <v>197</v>
      </c>
    </row>
    <row r="75" customFormat="false" ht="35.05" hidden="false" customHeight="false" outlineLevel="0" collapsed="false">
      <c r="A75" s="38" t="s">
        <v>651</v>
      </c>
      <c r="B75" s="6" t="s">
        <v>653</v>
      </c>
      <c r="C75" s="6" t="s">
        <v>1271</v>
      </c>
      <c r="D75" s="6" t="s">
        <v>1296</v>
      </c>
      <c r="E75" s="6" t="s">
        <v>1302</v>
      </c>
      <c r="F75" s="6" t="s">
        <v>197</v>
      </c>
    </row>
    <row r="76" customFormat="false" ht="23.85" hidden="false" customHeight="false" outlineLevel="0" collapsed="false">
      <c r="A76" s="38" t="s">
        <v>656</v>
      </c>
      <c r="B76" s="6" t="s">
        <v>658</v>
      </c>
      <c r="C76" s="6" t="s">
        <v>1277</v>
      </c>
      <c r="D76" s="6" t="s">
        <v>1296</v>
      </c>
      <c r="E76" s="6" t="s">
        <v>1302</v>
      </c>
      <c r="F76" s="6" t="s">
        <v>197</v>
      </c>
    </row>
    <row r="77" customFormat="false" ht="35.05" hidden="false" customHeight="false" outlineLevel="0" collapsed="false">
      <c r="A77" s="38" t="s">
        <v>662</v>
      </c>
      <c r="B77" s="6" t="s">
        <v>664</v>
      </c>
      <c r="C77" s="6" t="s">
        <v>1277</v>
      </c>
      <c r="D77" s="6" t="s">
        <v>1296</v>
      </c>
      <c r="E77" s="6" t="s">
        <v>1302</v>
      </c>
      <c r="F77" s="6" t="s">
        <v>197</v>
      </c>
    </row>
    <row r="78" customFormat="false" ht="23.85" hidden="false" customHeight="false" outlineLevel="0" collapsed="false">
      <c r="A78" s="38" t="s">
        <v>670</v>
      </c>
      <c r="B78" s="6" t="s">
        <v>672</v>
      </c>
      <c r="C78" s="6" t="s">
        <v>1297</v>
      </c>
      <c r="D78" s="6" t="s">
        <v>1296</v>
      </c>
      <c r="E78" s="6" t="s">
        <v>1302</v>
      </c>
      <c r="F78" s="6" t="s">
        <v>197</v>
      </c>
    </row>
    <row r="79" customFormat="false" ht="23.85" hidden="false" customHeight="false" outlineLevel="0" collapsed="false">
      <c r="A79" s="38" t="s">
        <v>676</v>
      </c>
      <c r="B79" s="6" t="s">
        <v>678</v>
      </c>
      <c r="C79" s="6" t="s">
        <v>1297</v>
      </c>
      <c r="D79" s="6" t="s">
        <v>1296</v>
      </c>
      <c r="E79" s="6" t="s">
        <v>1302</v>
      </c>
      <c r="F79" s="6" t="s">
        <v>197</v>
      </c>
    </row>
    <row r="80" customFormat="false" ht="23.85" hidden="false" customHeight="false" outlineLevel="0" collapsed="false">
      <c r="A80" s="38" t="s">
        <v>684</v>
      </c>
      <c r="B80" s="6" t="s">
        <v>686</v>
      </c>
      <c r="C80" s="6" t="s">
        <v>1303</v>
      </c>
      <c r="D80" s="6" t="s">
        <v>1296</v>
      </c>
      <c r="E80" s="6" t="s">
        <v>1304</v>
      </c>
      <c r="F80" s="6" t="s">
        <v>197</v>
      </c>
    </row>
    <row r="81" customFormat="false" ht="23.85" hidden="false" customHeight="false" outlineLevel="0" collapsed="false">
      <c r="A81" s="38" t="s">
        <v>689</v>
      </c>
      <c r="B81" s="6" t="s">
        <v>691</v>
      </c>
      <c r="C81" s="6" t="s">
        <v>1303</v>
      </c>
      <c r="D81" s="6" t="s">
        <v>1296</v>
      </c>
      <c r="E81" s="6" t="s">
        <v>1221</v>
      </c>
      <c r="F81" s="6" t="s">
        <v>197</v>
      </c>
    </row>
    <row r="82" customFormat="false" ht="35.05" hidden="false" customHeight="false" outlineLevel="0" collapsed="false">
      <c r="A82" s="38" t="s">
        <v>695</v>
      </c>
      <c r="B82" s="6" t="s">
        <v>697</v>
      </c>
      <c r="C82" s="6" t="s">
        <v>1282</v>
      </c>
      <c r="D82" s="6" t="s">
        <v>1296</v>
      </c>
      <c r="E82" s="6" t="s">
        <v>1302</v>
      </c>
      <c r="F82" s="6" t="s">
        <v>197</v>
      </c>
    </row>
    <row r="83" customFormat="false" ht="46.25" hidden="false" customHeight="false" outlineLevel="0" collapsed="false">
      <c r="A83" s="38" t="s">
        <v>700</v>
      </c>
      <c r="B83" s="6" t="s">
        <v>702</v>
      </c>
      <c r="C83" s="6" t="s">
        <v>1282</v>
      </c>
      <c r="D83" s="6" t="s">
        <v>1305</v>
      </c>
      <c r="E83" s="6" t="s">
        <v>1304</v>
      </c>
      <c r="F83" s="6" t="s">
        <v>197</v>
      </c>
    </row>
    <row r="84" customFormat="false" ht="23.85" hidden="false" customHeight="false" outlineLevel="0" collapsed="false">
      <c r="A84" s="38" t="s">
        <v>705</v>
      </c>
      <c r="B84" s="6" t="s">
        <v>707</v>
      </c>
      <c r="C84" s="6" t="s">
        <v>1297</v>
      </c>
      <c r="D84" s="6" t="s">
        <v>1306</v>
      </c>
      <c r="E84" s="6" t="s">
        <v>1302</v>
      </c>
      <c r="F84" s="6" t="s">
        <v>197</v>
      </c>
    </row>
    <row r="85" customFormat="false" ht="23.85" hidden="false" customHeight="false" outlineLevel="0" collapsed="false">
      <c r="A85" s="38" t="s">
        <v>713</v>
      </c>
      <c r="B85" s="6" t="s">
        <v>715</v>
      </c>
      <c r="C85" s="6" t="s">
        <v>1297</v>
      </c>
      <c r="D85" s="6" t="s">
        <v>1306</v>
      </c>
      <c r="E85" s="6" t="s">
        <v>1302</v>
      </c>
      <c r="F85" s="6" t="s">
        <v>197</v>
      </c>
    </row>
    <row r="86" customFormat="false" ht="35.05" hidden="false" customHeight="false" outlineLevel="0" collapsed="false">
      <c r="A86" s="38" t="s">
        <v>718</v>
      </c>
      <c r="B86" s="6" t="s">
        <v>720</v>
      </c>
      <c r="C86" s="6" t="s">
        <v>1297</v>
      </c>
      <c r="D86" s="6" t="s">
        <v>1306</v>
      </c>
      <c r="E86" s="6" t="s">
        <v>1302</v>
      </c>
      <c r="F86" s="6" t="s">
        <v>197</v>
      </c>
    </row>
    <row r="87" customFormat="false" ht="35.05" hidden="false" customHeight="false" outlineLevel="0" collapsed="false">
      <c r="A87" s="38" t="s">
        <v>726</v>
      </c>
      <c r="B87" s="6" t="s">
        <v>728</v>
      </c>
      <c r="C87" s="6" t="s">
        <v>1297</v>
      </c>
      <c r="D87" s="6" t="s">
        <v>1306</v>
      </c>
      <c r="E87" s="6" t="s">
        <v>1302</v>
      </c>
      <c r="F87" s="6" t="s">
        <v>197</v>
      </c>
    </row>
    <row r="88" customFormat="false" ht="23.85" hidden="false" customHeight="false" outlineLevel="0" collapsed="false">
      <c r="A88" s="38" t="s">
        <v>734</v>
      </c>
      <c r="B88" s="6" t="s">
        <v>736</v>
      </c>
      <c r="C88" s="6" t="s">
        <v>1271</v>
      </c>
      <c r="D88" s="6" t="s">
        <v>1306</v>
      </c>
      <c r="E88" s="6" t="s">
        <v>1238</v>
      </c>
      <c r="F88" s="6" t="s">
        <v>197</v>
      </c>
    </row>
    <row r="89" customFormat="false" ht="23.85" hidden="false" customHeight="false" outlineLevel="0" collapsed="false">
      <c r="A89" s="38" t="s">
        <v>739</v>
      </c>
      <c r="B89" s="6" t="s">
        <v>741</v>
      </c>
      <c r="C89" s="6" t="s">
        <v>1271</v>
      </c>
      <c r="D89" s="6" t="s">
        <v>1306</v>
      </c>
      <c r="E89" s="6" t="s">
        <v>1238</v>
      </c>
      <c r="F89" s="6" t="s">
        <v>197</v>
      </c>
    </row>
    <row r="90" customFormat="false" ht="35.05" hidden="false" customHeight="false" outlineLevel="0" collapsed="false">
      <c r="A90" s="38" t="s">
        <v>745</v>
      </c>
      <c r="B90" s="6" t="s">
        <v>747</v>
      </c>
      <c r="C90" s="6" t="s">
        <v>1282</v>
      </c>
      <c r="D90" s="6" t="s">
        <v>1306</v>
      </c>
      <c r="E90" s="6" t="s">
        <v>1302</v>
      </c>
      <c r="F90" s="6" t="s">
        <v>197</v>
      </c>
    </row>
    <row r="91" customFormat="false" ht="23.85" hidden="false" customHeight="false" outlineLevel="0" collapsed="false">
      <c r="A91" s="38" t="s">
        <v>750</v>
      </c>
      <c r="B91" s="6" t="s">
        <v>752</v>
      </c>
      <c r="C91" s="6" t="s">
        <v>1282</v>
      </c>
      <c r="D91" s="6" t="s">
        <v>1306</v>
      </c>
      <c r="E91" s="6" t="s">
        <v>1302</v>
      </c>
      <c r="F91" s="6" t="s">
        <v>197</v>
      </c>
    </row>
    <row r="92" customFormat="false" ht="23.85" hidden="false" customHeight="false" outlineLevel="0" collapsed="false">
      <c r="A92" s="38" t="s">
        <v>754</v>
      </c>
      <c r="B92" s="6" t="s">
        <v>756</v>
      </c>
      <c r="C92" s="6" t="s">
        <v>1297</v>
      </c>
      <c r="D92" s="6" t="s">
        <v>1306</v>
      </c>
      <c r="E92" s="6" t="s">
        <v>1302</v>
      </c>
      <c r="F92" s="6" t="s">
        <v>197</v>
      </c>
    </row>
    <row r="93" customFormat="false" ht="23.85" hidden="false" customHeight="false" outlineLevel="0" collapsed="false">
      <c r="A93" s="38" t="s">
        <v>760</v>
      </c>
      <c r="B93" s="6" t="s">
        <v>762</v>
      </c>
      <c r="C93" s="6" t="s">
        <v>1297</v>
      </c>
      <c r="D93" s="6" t="s">
        <v>1306</v>
      </c>
      <c r="E93" s="6" t="s">
        <v>1302</v>
      </c>
      <c r="F93" s="6" t="s">
        <v>197</v>
      </c>
    </row>
    <row r="94" customFormat="false" ht="23.85" hidden="false" customHeight="false" outlineLevel="0" collapsed="false">
      <c r="A94" s="38" t="s">
        <v>764</v>
      </c>
      <c r="B94" s="6" t="s">
        <v>766</v>
      </c>
      <c r="C94" s="6" t="s">
        <v>1277</v>
      </c>
      <c r="D94" s="6" t="s">
        <v>1306</v>
      </c>
      <c r="E94" s="6" t="s">
        <v>1302</v>
      </c>
      <c r="F94" s="6" t="s">
        <v>197</v>
      </c>
    </row>
    <row r="95" customFormat="false" ht="23.85" hidden="false" customHeight="false" outlineLevel="0" collapsed="false">
      <c r="A95" s="38" t="s">
        <v>769</v>
      </c>
      <c r="B95" s="6" t="s">
        <v>771</v>
      </c>
      <c r="C95" s="6" t="s">
        <v>1277</v>
      </c>
      <c r="D95" s="6" t="s">
        <v>1306</v>
      </c>
      <c r="E95" s="6" t="s">
        <v>1302</v>
      </c>
      <c r="F95" s="6" t="s">
        <v>197</v>
      </c>
    </row>
    <row r="96" customFormat="false" ht="35.05" hidden="false" customHeight="false" outlineLevel="0" collapsed="false">
      <c r="A96" s="38" t="s">
        <v>774</v>
      </c>
      <c r="B96" s="6" t="s">
        <v>776</v>
      </c>
      <c r="C96" s="6" t="s">
        <v>1271</v>
      </c>
      <c r="D96" s="6" t="s">
        <v>1305</v>
      </c>
      <c r="E96" s="6" t="s">
        <v>1304</v>
      </c>
      <c r="F96" s="6" t="s">
        <v>197</v>
      </c>
    </row>
    <row r="97" customFormat="false" ht="35.05" hidden="false" customHeight="false" outlineLevel="0" collapsed="false">
      <c r="A97" s="38" t="s">
        <v>778</v>
      </c>
      <c r="B97" s="6" t="s">
        <v>780</v>
      </c>
      <c r="C97" s="6" t="s">
        <v>1303</v>
      </c>
      <c r="D97" s="6" t="s">
        <v>1220</v>
      </c>
      <c r="E97" s="6" t="s">
        <v>1221</v>
      </c>
      <c r="F97" s="6" t="s">
        <v>197</v>
      </c>
    </row>
    <row r="98" customFormat="false" ht="23.85" hidden="false" customHeight="false" outlineLevel="0" collapsed="false">
      <c r="A98" s="38" t="s">
        <v>786</v>
      </c>
      <c r="B98" s="6" t="s">
        <v>788</v>
      </c>
      <c r="C98" s="6" t="s">
        <v>1297</v>
      </c>
      <c r="D98" s="6" t="s">
        <v>1307</v>
      </c>
      <c r="E98" s="6" t="s">
        <v>1214</v>
      </c>
      <c r="F98" s="6" t="s">
        <v>197</v>
      </c>
    </row>
    <row r="99" customFormat="false" ht="35.05" hidden="false" customHeight="false" outlineLevel="0" collapsed="false">
      <c r="A99" s="38" t="s">
        <v>792</v>
      </c>
      <c r="B99" s="6" t="s">
        <v>794</v>
      </c>
      <c r="C99" s="6" t="s">
        <v>1297</v>
      </c>
      <c r="D99" s="6" t="s">
        <v>1306</v>
      </c>
      <c r="E99" s="6" t="s">
        <v>1302</v>
      </c>
      <c r="F99" s="6" t="s">
        <v>197</v>
      </c>
    </row>
    <row r="100" customFormat="false" ht="35.05" hidden="false" customHeight="false" outlineLevel="0" collapsed="false">
      <c r="A100" s="38" t="s">
        <v>797</v>
      </c>
      <c r="B100" s="6" t="s">
        <v>799</v>
      </c>
      <c r="C100" s="6" t="s">
        <v>1303</v>
      </c>
      <c r="D100" s="6" t="s">
        <v>1306</v>
      </c>
      <c r="E100" s="6" t="s">
        <v>1302</v>
      </c>
      <c r="F100" s="6" t="s">
        <v>197</v>
      </c>
    </row>
    <row r="101" customFormat="false" ht="35.05" hidden="false" customHeight="false" outlineLevel="0" collapsed="false">
      <c r="A101" s="38" t="s">
        <v>802</v>
      </c>
      <c r="B101" s="6" t="s">
        <v>804</v>
      </c>
      <c r="C101" s="6" t="s">
        <v>1297</v>
      </c>
      <c r="D101" s="6" t="s">
        <v>1306</v>
      </c>
      <c r="E101" s="6" t="s">
        <v>1302</v>
      </c>
      <c r="F101" s="6" t="s">
        <v>197</v>
      </c>
    </row>
    <row r="102" customFormat="false" ht="23.85" hidden="false" customHeight="false" outlineLevel="0" collapsed="false">
      <c r="A102" s="38" t="s">
        <v>808</v>
      </c>
      <c r="B102" s="6" t="s">
        <v>810</v>
      </c>
      <c r="C102" s="6" t="s">
        <v>1271</v>
      </c>
      <c r="D102" s="6" t="s">
        <v>1308</v>
      </c>
      <c r="E102" s="6" t="s">
        <v>1238</v>
      </c>
      <c r="F102" s="6" t="s">
        <v>197</v>
      </c>
    </row>
    <row r="103" customFormat="false" ht="23.85" hidden="false" customHeight="false" outlineLevel="0" collapsed="false">
      <c r="A103" s="38" t="s">
        <v>813</v>
      </c>
      <c r="B103" s="6" t="s">
        <v>815</v>
      </c>
      <c r="C103" s="6" t="s">
        <v>1271</v>
      </c>
      <c r="D103" s="6" t="s">
        <v>1308</v>
      </c>
      <c r="E103" s="6" t="s">
        <v>1238</v>
      </c>
      <c r="F103" s="6" t="s">
        <v>197</v>
      </c>
    </row>
    <row r="104" customFormat="false" ht="35.05" hidden="false" customHeight="false" outlineLevel="0" collapsed="false">
      <c r="A104" s="38" t="s">
        <v>817</v>
      </c>
      <c r="B104" s="6" t="s">
        <v>819</v>
      </c>
      <c r="C104" s="6" t="s">
        <v>1271</v>
      </c>
      <c r="D104" s="6" t="s">
        <v>1308</v>
      </c>
      <c r="E104" s="6" t="s">
        <v>1238</v>
      </c>
      <c r="F104" s="6" t="s">
        <v>1286</v>
      </c>
    </row>
    <row r="105" customFormat="false" ht="23.85" hidden="false" customHeight="false" outlineLevel="0" collapsed="false">
      <c r="A105" s="38" t="s">
        <v>821</v>
      </c>
      <c r="B105" s="6" t="s">
        <v>823</v>
      </c>
      <c r="C105" s="6" t="s">
        <v>1271</v>
      </c>
      <c r="D105" s="6" t="s">
        <v>1308</v>
      </c>
      <c r="E105" s="6" t="s">
        <v>1238</v>
      </c>
      <c r="F105" s="6" t="s">
        <v>197</v>
      </c>
    </row>
    <row r="106" customFormat="false" ht="35.05" hidden="false" customHeight="false" outlineLevel="0" collapsed="false">
      <c r="A106" s="38" t="s">
        <v>827</v>
      </c>
      <c r="B106" s="6" t="s">
        <v>829</v>
      </c>
      <c r="C106" s="6" t="s">
        <v>1271</v>
      </c>
      <c r="D106" s="6" t="s">
        <v>1308</v>
      </c>
      <c r="E106" s="6" t="s">
        <v>1238</v>
      </c>
      <c r="F106" s="6" t="s">
        <v>197</v>
      </c>
    </row>
    <row r="107" customFormat="false" ht="23.85" hidden="false" customHeight="false" outlineLevel="0" collapsed="false">
      <c r="A107" s="38" t="s">
        <v>831</v>
      </c>
      <c r="B107" s="6" t="s">
        <v>833</v>
      </c>
      <c r="C107" s="6" t="s">
        <v>1271</v>
      </c>
      <c r="D107" s="6" t="s">
        <v>1308</v>
      </c>
      <c r="E107" s="6" t="s">
        <v>1238</v>
      </c>
      <c r="F107" s="6" t="s">
        <v>1286</v>
      </c>
    </row>
    <row r="108" customFormat="false" ht="23.85" hidden="false" customHeight="false" outlineLevel="0" collapsed="false">
      <c r="A108" s="38" t="s">
        <v>836</v>
      </c>
      <c r="B108" s="6" t="s">
        <v>838</v>
      </c>
      <c r="C108" s="6" t="s">
        <v>1271</v>
      </c>
      <c r="D108" s="6" t="s">
        <v>1308</v>
      </c>
      <c r="E108" s="6" t="s">
        <v>1238</v>
      </c>
      <c r="F108" s="6" t="s">
        <v>197</v>
      </c>
    </row>
    <row r="109" customFormat="false" ht="35.05" hidden="false" customHeight="false" outlineLevel="0" collapsed="false">
      <c r="A109" s="38" t="s">
        <v>840</v>
      </c>
      <c r="B109" s="6" t="s">
        <v>842</v>
      </c>
      <c r="C109" s="6" t="s">
        <v>1271</v>
      </c>
      <c r="D109" s="6" t="s">
        <v>1308</v>
      </c>
      <c r="E109" s="6" t="s">
        <v>1238</v>
      </c>
      <c r="F109" s="6" t="s">
        <v>1286</v>
      </c>
    </row>
    <row r="110" customFormat="false" ht="23.85" hidden="false" customHeight="false" outlineLevel="0" collapsed="false">
      <c r="A110" s="38" t="s">
        <v>846</v>
      </c>
      <c r="B110" s="6" t="s">
        <v>848</v>
      </c>
      <c r="C110" s="6" t="s">
        <v>1271</v>
      </c>
      <c r="D110" s="6" t="s">
        <v>1308</v>
      </c>
      <c r="E110" s="6" t="s">
        <v>1238</v>
      </c>
      <c r="F110" s="6" t="s">
        <v>197</v>
      </c>
    </row>
    <row r="111" customFormat="false" ht="23.85" hidden="false" customHeight="false" outlineLevel="0" collapsed="false">
      <c r="A111" s="38" t="s">
        <v>850</v>
      </c>
      <c r="B111" s="6" t="s">
        <v>852</v>
      </c>
      <c r="C111" s="6" t="s">
        <v>1271</v>
      </c>
      <c r="D111" s="6" t="s">
        <v>1309</v>
      </c>
      <c r="E111" s="6" t="s">
        <v>1238</v>
      </c>
      <c r="F111" s="6" t="s">
        <v>1286</v>
      </c>
    </row>
    <row r="112" customFormat="false" ht="23.85" hidden="false" customHeight="false" outlineLevel="0" collapsed="false">
      <c r="A112" s="38" t="s">
        <v>855</v>
      </c>
      <c r="B112" s="6" t="s">
        <v>857</v>
      </c>
      <c r="C112" s="6" t="s">
        <v>1271</v>
      </c>
      <c r="D112" s="6" t="s">
        <v>1310</v>
      </c>
      <c r="E112" s="6" t="s">
        <v>1304</v>
      </c>
      <c r="F112" s="6" t="s">
        <v>197</v>
      </c>
    </row>
    <row r="113" customFormat="false" ht="35.05" hidden="false" customHeight="false" outlineLevel="0" collapsed="false">
      <c r="A113" s="38" t="s">
        <v>859</v>
      </c>
      <c r="B113" s="6" t="s">
        <v>861</v>
      </c>
      <c r="C113" s="6" t="s">
        <v>1271</v>
      </c>
      <c r="D113" s="6" t="s">
        <v>1310</v>
      </c>
      <c r="E113" s="6" t="s">
        <v>1304</v>
      </c>
      <c r="F113" s="6" t="s">
        <v>197</v>
      </c>
    </row>
    <row r="114" customFormat="false" ht="35.05" hidden="false" customHeight="false" outlineLevel="0" collapsed="false">
      <c r="A114" s="38" t="s">
        <v>863</v>
      </c>
      <c r="B114" s="6" t="s">
        <v>865</v>
      </c>
      <c r="C114" s="6" t="s">
        <v>1271</v>
      </c>
      <c r="D114" s="6" t="s">
        <v>1189</v>
      </c>
      <c r="E114" s="6" t="s">
        <v>1304</v>
      </c>
      <c r="F114" s="6" t="s">
        <v>197</v>
      </c>
    </row>
    <row r="115" customFormat="false" ht="23.85" hidden="false" customHeight="false" outlineLevel="0" collapsed="false">
      <c r="A115" s="38" t="s">
        <v>867</v>
      </c>
      <c r="B115" s="6" t="s">
        <v>869</v>
      </c>
      <c r="C115" s="6" t="s">
        <v>1271</v>
      </c>
      <c r="D115" s="6" t="s">
        <v>1310</v>
      </c>
      <c r="E115" s="6" t="s">
        <v>1304</v>
      </c>
      <c r="F115" s="6" t="s">
        <v>197</v>
      </c>
    </row>
    <row r="116" customFormat="false" ht="23.85" hidden="false" customHeight="false" outlineLevel="0" collapsed="false">
      <c r="A116" s="38" t="s">
        <v>871</v>
      </c>
      <c r="B116" s="6" t="s">
        <v>873</v>
      </c>
      <c r="C116" s="6" t="s">
        <v>1271</v>
      </c>
      <c r="D116" s="6" t="s">
        <v>1310</v>
      </c>
      <c r="E116" s="6" t="s">
        <v>1304</v>
      </c>
      <c r="F116" s="6" t="s">
        <v>197</v>
      </c>
    </row>
    <row r="117" customFormat="false" ht="23.85" hidden="false" customHeight="false" outlineLevel="0" collapsed="false">
      <c r="A117" s="38" t="s">
        <v>875</v>
      </c>
      <c r="B117" s="6" t="s">
        <v>877</v>
      </c>
      <c r="C117" s="6" t="s">
        <v>1271</v>
      </c>
      <c r="D117" s="6" t="s">
        <v>1310</v>
      </c>
      <c r="E117" s="6" t="s">
        <v>1304</v>
      </c>
      <c r="F117" s="6" t="s">
        <v>197</v>
      </c>
    </row>
    <row r="118" customFormat="false" ht="23.85" hidden="false" customHeight="false" outlineLevel="0" collapsed="false">
      <c r="A118" s="38" t="s">
        <v>879</v>
      </c>
      <c r="B118" s="6" t="s">
        <v>881</v>
      </c>
      <c r="C118" s="6" t="s">
        <v>1271</v>
      </c>
      <c r="D118" s="6" t="s">
        <v>1310</v>
      </c>
      <c r="E118" s="6" t="s">
        <v>1304</v>
      </c>
      <c r="F118" s="6" t="s">
        <v>197</v>
      </c>
    </row>
    <row r="119" customFormat="false" ht="23.85" hidden="false" customHeight="false" outlineLevel="0" collapsed="false">
      <c r="A119" s="38" t="s">
        <v>883</v>
      </c>
      <c r="B119" s="6" t="s">
        <v>885</v>
      </c>
      <c r="C119" s="6" t="s">
        <v>1271</v>
      </c>
      <c r="D119" s="6" t="s">
        <v>1310</v>
      </c>
      <c r="E119" s="6" t="s">
        <v>1304</v>
      </c>
      <c r="F119" s="6" t="s">
        <v>197</v>
      </c>
    </row>
    <row r="120" customFormat="false" ht="35.05" hidden="false" customHeight="false" outlineLevel="0" collapsed="false">
      <c r="A120" s="38" t="s">
        <v>888</v>
      </c>
      <c r="B120" s="6" t="s">
        <v>890</v>
      </c>
      <c r="C120" s="6" t="s">
        <v>1271</v>
      </c>
      <c r="D120" s="6" t="s">
        <v>1260</v>
      </c>
      <c r="E120" s="6" t="s">
        <v>1304</v>
      </c>
      <c r="F120" s="6" t="s">
        <v>197</v>
      </c>
    </row>
    <row r="121" customFormat="false" ht="23.85" hidden="false" customHeight="false" outlineLevel="0" collapsed="false">
      <c r="A121" s="38" t="s">
        <v>892</v>
      </c>
      <c r="B121" s="6" t="s">
        <v>894</v>
      </c>
      <c r="C121" s="6" t="s">
        <v>1297</v>
      </c>
      <c r="D121" s="6" t="s">
        <v>1311</v>
      </c>
      <c r="E121" s="6" t="s">
        <v>1304</v>
      </c>
      <c r="F121" s="6" t="s">
        <v>197</v>
      </c>
    </row>
    <row r="122" customFormat="false" ht="23.85" hidden="false" customHeight="false" outlineLevel="0" collapsed="false">
      <c r="A122" s="38" t="s">
        <v>897</v>
      </c>
      <c r="B122" s="6" t="s">
        <v>899</v>
      </c>
      <c r="C122" s="6" t="s">
        <v>1297</v>
      </c>
      <c r="D122" s="6" t="s">
        <v>1312</v>
      </c>
      <c r="E122" s="6" t="s">
        <v>1304</v>
      </c>
      <c r="F122" s="6" t="s">
        <v>197</v>
      </c>
    </row>
    <row r="123" customFormat="false" ht="23.85" hidden="false" customHeight="false" outlineLevel="0" collapsed="false">
      <c r="A123" s="38" t="s">
        <v>902</v>
      </c>
      <c r="B123" s="6" t="s">
        <v>904</v>
      </c>
      <c r="C123" s="6" t="s">
        <v>1271</v>
      </c>
      <c r="D123" s="6" t="s">
        <v>1189</v>
      </c>
      <c r="E123" s="6" t="s">
        <v>1304</v>
      </c>
      <c r="F123" s="6" t="s">
        <v>197</v>
      </c>
    </row>
    <row r="124" customFormat="false" ht="35.05" hidden="false" customHeight="false" outlineLevel="0" collapsed="false">
      <c r="A124" s="38" t="s">
        <v>907</v>
      </c>
      <c r="B124" s="6" t="s">
        <v>909</v>
      </c>
      <c r="C124" s="6" t="s">
        <v>1303</v>
      </c>
      <c r="D124" s="6" t="s">
        <v>1220</v>
      </c>
      <c r="E124" s="6" t="s">
        <v>1221</v>
      </c>
      <c r="F124" s="6" t="s">
        <v>197</v>
      </c>
    </row>
    <row r="125" customFormat="false" ht="35.05" hidden="false" customHeight="false" outlineLevel="0" collapsed="false">
      <c r="A125" s="38" t="s">
        <v>911</v>
      </c>
      <c r="B125" s="6" t="s">
        <v>913</v>
      </c>
      <c r="C125" s="6" t="s">
        <v>1303</v>
      </c>
      <c r="D125" s="6" t="s">
        <v>1220</v>
      </c>
      <c r="E125" s="6" t="s">
        <v>1221</v>
      </c>
      <c r="F125" s="6" t="s">
        <v>1286</v>
      </c>
    </row>
    <row r="126" customFormat="false" ht="35.05" hidden="false" customHeight="false" outlineLevel="0" collapsed="false">
      <c r="A126" s="38" t="s">
        <v>917</v>
      </c>
      <c r="B126" s="6" t="s">
        <v>919</v>
      </c>
      <c r="C126" s="6" t="s">
        <v>1303</v>
      </c>
      <c r="D126" s="6" t="s">
        <v>1220</v>
      </c>
      <c r="E126" s="6" t="s">
        <v>1221</v>
      </c>
      <c r="F126" s="6" t="s">
        <v>197</v>
      </c>
    </row>
    <row r="127" customFormat="false" ht="23.85" hidden="false" customHeight="false" outlineLevel="0" collapsed="false">
      <c r="A127" s="38" t="s">
        <v>923</v>
      </c>
      <c r="B127" s="6" t="s">
        <v>925</v>
      </c>
      <c r="C127" s="6" t="s">
        <v>1303</v>
      </c>
      <c r="D127" s="6" t="s">
        <v>1220</v>
      </c>
      <c r="E127" s="6" t="s">
        <v>1221</v>
      </c>
      <c r="F127" s="6" t="s">
        <v>1286</v>
      </c>
    </row>
    <row r="128" customFormat="false" ht="23.85" hidden="false" customHeight="false" outlineLevel="0" collapsed="false">
      <c r="A128" s="38" t="s">
        <v>927</v>
      </c>
      <c r="B128" s="6" t="s">
        <v>929</v>
      </c>
      <c r="C128" s="6" t="s">
        <v>1297</v>
      </c>
      <c r="D128" s="6" t="s">
        <v>1220</v>
      </c>
      <c r="E128" s="6" t="s">
        <v>1221</v>
      </c>
      <c r="F128" s="6" t="s">
        <v>197</v>
      </c>
    </row>
    <row r="129" customFormat="false" ht="35.05" hidden="false" customHeight="false" outlineLevel="0" collapsed="false">
      <c r="A129" s="38" t="s">
        <v>933</v>
      </c>
      <c r="B129" s="6" t="s">
        <v>935</v>
      </c>
      <c r="C129" s="6" t="s">
        <v>1303</v>
      </c>
      <c r="D129" s="6" t="s">
        <v>1220</v>
      </c>
      <c r="E129" s="6" t="s">
        <v>1221</v>
      </c>
      <c r="F129" s="6" t="s">
        <v>197</v>
      </c>
    </row>
    <row r="130" customFormat="false" ht="23.85" hidden="false" customHeight="false" outlineLevel="0" collapsed="false">
      <c r="A130" s="38" t="s">
        <v>941</v>
      </c>
      <c r="B130" s="6" t="s">
        <v>943</v>
      </c>
      <c r="C130" s="6" t="s">
        <v>1303</v>
      </c>
      <c r="D130" s="6" t="s">
        <v>1220</v>
      </c>
      <c r="E130" s="6" t="s">
        <v>1221</v>
      </c>
      <c r="F130" s="6" t="s">
        <v>197</v>
      </c>
    </row>
    <row r="131" customFormat="false" ht="23.85" hidden="false" customHeight="false" outlineLevel="0" collapsed="false">
      <c r="A131" s="38" t="s">
        <v>946</v>
      </c>
      <c r="B131" s="6" t="s">
        <v>948</v>
      </c>
      <c r="C131" s="6" t="s">
        <v>1303</v>
      </c>
      <c r="D131" s="6" t="s">
        <v>1220</v>
      </c>
      <c r="E131" s="6" t="s">
        <v>1221</v>
      </c>
      <c r="F131" s="6" t="s">
        <v>197</v>
      </c>
    </row>
    <row r="132" customFormat="false" ht="23.85" hidden="false" customHeight="false" outlineLevel="0" collapsed="false">
      <c r="A132" s="38" t="s">
        <v>953</v>
      </c>
      <c r="B132" s="6" t="s">
        <v>955</v>
      </c>
      <c r="C132" s="6" t="s">
        <v>1303</v>
      </c>
      <c r="D132" s="6" t="s">
        <v>1313</v>
      </c>
      <c r="E132" s="6" t="s">
        <v>1221</v>
      </c>
      <c r="F132" s="6" t="s">
        <v>197</v>
      </c>
    </row>
    <row r="133" customFormat="false" ht="35.05" hidden="false" customHeight="false" outlineLevel="0" collapsed="false">
      <c r="A133" s="38" t="s">
        <v>957</v>
      </c>
      <c r="B133" s="6" t="s">
        <v>959</v>
      </c>
      <c r="C133" s="6" t="s">
        <v>1303</v>
      </c>
      <c r="D133" s="6" t="s">
        <v>1313</v>
      </c>
      <c r="E133" s="6" t="s">
        <v>1221</v>
      </c>
      <c r="F133" s="6" t="s">
        <v>197</v>
      </c>
    </row>
    <row r="134" customFormat="false" ht="35.05" hidden="false" customHeight="false" outlineLevel="0" collapsed="false">
      <c r="A134" s="38" t="s">
        <v>962</v>
      </c>
      <c r="B134" s="6" t="s">
        <v>964</v>
      </c>
      <c r="C134" s="6" t="s">
        <v>1303</v>
      </c>
      <c r="D134" s="6" t="s">
        <v>1314</v>
      </c>
      <c r="E134" s="6" t="s">
        <v>1214</v>
      </c>
      <c r="F134" s="6" t="s">
        <v>197</v>
      </c>
    </row>
    <row r="135" customFormat="false" ht="35.05" hidden="false" customHeight="false" outlineLevel="0" collapsed="false">
      <c r="A135" s="38" t="s">
        <v>966</v>
      </c>
      <c r="B135" s="6" t="s">
        <v>968</v>
      </c>
      <c r="C135" s="6" t="s">
        <v>1277</v>
      </c>
      <c r="D135" s="6" t="s">
        <v>1315</v>
      </c>
      <c r="E135" s="6" t="s">
        <v>1221</v>
      </c>
      <c r="F135" s="6" t="s">
        <v>197</v>
      </c>
    </row>
    <row r="136" customFormat="false" ht="23.85" hidden="false" customHeight="false" outlineLevel="0" collapsed="false">
      <c r="A136" s="38" t="s">
        <v>972</v>
      </c>
      <c r="B136" s="6" t="s">
        <v>974</v>
      </c>
      <c r="C136" s="6" t="s">
        <v>1297</v>
      </c>
      <c r="D136" s="6" t="s">
        <v>1316</v>
      </c>
      <c r="E136" s="6" t="s">
        <v>1255</v>
      </c>
      <c r="F136" s="6" t="s">
        <v>1317</v>
      </c>
    </row>
    <row r="137" customFormat="false" ht="23.85" hidden="false" customHeight="false" outlineLevel="0" collapsed="false">
      <c r="A137" s="38" t="s">
        <v>980</v>
      </c>
      <c r="B137" s="6" t="s">
        <v>982</v>
      </c>
      <c r="C137" s="6" t="s">
        <v>1171</v>
      </c>
      <c r="D137" s="6" t="s">
        <v>1316</v>
      </c>
      <c r="E137" s="6" t="s">
        <v>1255</v>
      </c>
      <c r="F137" s="6" t="s">
        <v>197</v>
      </c>
    </row>
    <row r="138" customFormat="false" ht="23.85" hidden="false" customHeight="false" outlineLevel="0" collapsed="false">
      <c r="A138" s="38" t="s">
        <v>986</v>
      </c>
      <c r="B138" s="6" t="s">
        <v>988</v>
      </c>
      <c r="C138" s="6" t="s">
        <v>1171</v>
      </c>
      <c r="D138" s="6" t="s">
        <v>1316</v>
      </c>
      <c r="E138" s="6" t="s">
        <v>1255</v>
      </c>
      <c r="F138" s="6" t="s">
        <v>197</v>
      </c>
    </row>
    <row r="139" customFormat="false" ht="35.05" hidden="false" customHeight="false" outlineLevel="0" collapsed="false">
      <c r="A139" s="38" t="s">
        <v>992</v>
      </c>
      <c r="B139" s="6" t="s">
        <v>994</v>
      </c>
      <c r="C139" s="6" t="s">
        <v>1297</v>
      </c>
      <c r="D139" s="6" t="s">
        <v>1316</v>
      </c>
      <c r="E139" s="6" t="s">
        <v>1255</v>
      </c>
      <c r="F139" s="6" t="s">
        <v>197</v>
      </c>
    </row>
    <row r="140" customFormat="false" ht="23.85" hidden="false" customHeight="false" outlineLevel="0" collapsed="false">
      <c r="A140" s="38" t="s">
        <v>998</v>
      </c>
      <c r="B140" s="6" t="s">
        <v>1000</v>
      </c>
      <c r="C140" s="6" t="s">
        <v>1297</v>
      </c>
      <c r="D140" s="6" t="s">
        <v>1316</v>
      </c>
      <c r="E140" s="6" t="s">
        <v>1255</v>
      </c>
      <c r="F140" s="6" t="s">
        <v>197</v>
      </c>
    </row>
    <row r="141" customFormat="false" ht="35.05" hidden="false" customHeight="false" outlineLevel="0" collapsed="false">
      <c r="A141" s="38" t="s">
        <v>1002</v>
      </c>
      <c r="B141" s="6" t="s">
        <v>1004</v>
      </c>
      <c r="C141" s="6" t="s">
        <v>1297</v>
      </c>
      <c r="D141" s="6" t="s">
        <v>1316</v>
      </c>
      <c r="E141" s="6" t="s">
        <v>1255</v>
      </c>
      <c r="F141" s="6" t="s">
        <v>197</v>
      </c>
    </row>
    <row r="142" customFormat="false" ht="23.85" hidden="false" customHeight="false" outlineLevel="0" collapsed="false">
      <c r="A142" s="38" t="s">
        <v>1009</v>
      </c>
      <c r="B142" s="6" t="s">
        <v>1011</v>
      </c>
      <c r="C142" s="6" t="s">
        <v>1297</v>
      </c>
      <c r="D142" s="6" t="s">
        <v>1316</v>
      </c>
      <c r="E142" s="6" t="s">
        <v>1255</v>
      </c>
      <c r="F142" s="6" t="s">
        <v>1318</v>
      </c>
    </row>
    <row r="143" customFormat="false" ht="23.85" hidden="false" customHeight="false" outlineLevel="0" collapsed="false">
      <c r="A143" s="38" t="s">
        <v>1016</v>
      </c>
      <c r="B143" s="6" t="s">
        <v>1018</v>
      </c>
      <c r="C143" s="6" t="s">
        <v>1297</v>
      </c>
      <c r="D143" s="6" t="s">
        <v>1316</v>
      </c>
      <c r="E143" s="6" t="s">
        <v>1255</v>
      </c>
      <c r="F143" s="6" t="s">
        <v>197</v>
      </c>
    </row>
    <row r="144" customFormat="false" ht="35.05" hidden="false" customHeight="false" outlineLevel="0" collapsed="false">
      <c r="A144" s="38" t="s">
        <v>1024</v>
      </c>
      <c r="B144" s="6" t="s">
        <v>1026</v>
      </c>
      <c r="C144" s="6" t="s">
        <v>1297</v>
      </c>
      <c r="D144" s="6" t="s">
        <v>1316</v>
      </c>
      <c r="E144" s="6" t="s">
        <v>1255</v>
      </c>
      <c r="F144" s="6" t="s">
        <v>197</v>
      </c>
    </row>
    <row r="145" customFormat="false" ht="23.85" hidden="false" customHeight="false" outlineLevel="0" collapsed="false">
      <c r="A145" s="38" t="s">
        <v>1031</v>
      </c>
      <c r="B145" s="6" t="s">
        <v>1033</v>
      </c>
      <c r="C145" s="6" t="s">
        <v>1171</v>
      </c>
      <c r="D145" s="6" t="s">
        <v>1316</v>
      </c>
      <c r="E145" s="6" t="s">
        <v>1255</v>
      </c>
      <c r="F145" s="6" t="s">
        <v>1182</v>
      </c>
    </row>
    <row r="146" customFormat="false" ht="35.05" hidden="false" customHeight="false" outlineLevel="0" collapsed="false">
      <c r="A146" s="38" t="s">
        <v>1037</v>
      </c>
      <c r="B146" s="6" t="s">
        <v>1039</v>
      </c>
      <c r="C146" s="6" t="s">
        <v>1303</v>
      </c>
      <c r="D146" s="6" t="s">
        <v>1232</v>
      </c>
      <c r="E146" s="6" t="s">
        <v>1214</v>
      </c>
      <c r="F146" s="6" t="s">
        <v>197</v>
      </c>
    </row>
    <row r="147" customFormat="false" ht="35.05" hidden="false" customHeight="false" outlineLevel="0" collapsed="false">
      <c r="A147" s="38" t="s">
        <v>1044</v>
      </c>
      <c r="B147" s="6" t="s">
        <v>1046</v>
      </c>
      <c r="C147" s="6" t="s">
        <v>1303</v>
      </c>
      <c r="D147" s="6" t="s">
        <v>1232</v>
      </c>
      <c r="E147" s="6" t="s">
        <v>1214</v>
      </c>
      <c r="F147" s="6" t="s">
        <v>1319</v>
      </c>
    </row>
    <row r="148" customFormat="false" ht="23.85" hidden="false" customHeight="false" outlineLevel="0" collapsed="false">
      <c r="A148" s="38" t="s">
        <v>1050</v>
      </c>
      <c r="B148" s="6" t="s">
        <v>1052</v>
      </c>
      <c r="C148" s="6" t="s">
        <v>1303</v>
      </c>
      <c r="D148" s="6" t="s">
        <v>1320</v>
      </c>
      <c r="E148" s="6" t="s">
        <v>1214</v>
      </c>
      <c r="F148" s="6" t="s">
        <v>1319</v>
      </c>
    </row>
    <row r="149" customFormat="false" ht="35.05" hidden="false" customHeight="false" outlineLevel="0" collapsed="false">
      <c r="A149" s="38" t="s">
        <v>1054</v>
      </c>
      <c r="B149" s="6" t="s">
        <v>1056</v>
      </c>
      <c r="C149" s="6" t="s">
        <v>1303</v>
      </c>
      <c r="D149" s="6" t="s">
        <v>1300</v>
      </c>
      <c r="E149" s="6" t="s">
        <v>1214</v>
      </c>
      <c r="F149" s="6" t="s">
        <v>1319</v>
      </c>
    </row>
    <row r="150" customFormat="false" ht="35.05" hidden="false" customHeight="false" outlineLevel="0" collapsed="false">
      <c r="A150" s="38" t="s">
        <v>1060</v>
      </c>
      <c r="B150" s="6" t="s">
        <v>1062</v>
      </c>
      <c r="C150" s="6" t="s">
        <v>1297</v>
      </c>
      <c r="D150" s="6" t="s">
        <v>1232</v>
      </c>
      <c r="E150" s="6" t="s">
        <v>1214</v>
      </c>
      <c r="F150" s="6" t="s">
        <v>197</v>
      </c>
    </row>
    <row r="151" customFormat="false" ht="23.85" hidden="false" customHeight="false" outlineLevel="0" collapsed="false">
      <c r="A151" s="38" t="s">
        <v>1064</v>
      </c>
      <c r="B151" s="6" t="s">
        <v>1066</v>
      </c>
      <c r="C151" s="6" t="s">
        <v>1303</v>
      </c>
      <c r="D151" s="6" t="s">
        <v>1232</v>
      </c>
      <c r="E151" s="6" t="s">
        <v>1214</v>
      </c>
      <c r="F151" s="6" t="s">
        <v>197</v>
      </c>
    </row>
    <row r="152" customFormat="false" ht="35.05" hidden="false" customHeight="false" outlineLevel="0" collapsed="false">
      <c r="A152" s="38" t="s">
        <v>1069</v>
      </c>
      <c r="B152" s="6" t="s">
        <v>1071</v>
      </c>
      <c r="C152" s="6" t="s">
        <v>1277</v>
      </c>
      <c r="D152" s="6" t="s">
        <v>1232</v>
      </c>
      <c r="E152" s="6" t="s">
        <v>1214</v>
      </c>
      <c r="F152" s="6" t="s">
        <v>197</v>
      </c>
    </row>
    <row r="153" customFormat="false" ht="35.05" hidden="false" customHeight="false" outlineLevel="0" collapsed="false">
      <c r="A153" s="38" t="s">
        <v>1074</v>
      </c>
      <c r="B153" s="6" t="s">
        <v>1076</v>
      </c>
      <c r="C153" s="6" t="s">
        <v>1303</v>
      </c>
      <c r="D153" s="6" t="s">
        <v>1232</v>
      </c>
      <c r="E153" s="6" t="s">
        <v>1214</v>
      </c>
      <c r="F153" s="6" t="s">
        <v>197</v>
      </c>
    </row>
    <row r="154" customFormat="false" ht="35.05" hidden="false" customHeight="false" outlineLevel="0" collapsed="false">
      <c r="A154" s="38" t="s">
        <v>1078</v>
      </c>
      <c r="B154" s="6" t="s">
        <v>1080</v>
      </c>
      <c r="C154" s="6" t="s">
        <v>1171</v>
      </c>
      <c r="D154" s="6" t="s">
        <v>1321</v>
      </c>
      <c r="E154" s="6" t="s">
        <v>1227</v>
      </c>
      <c r="F154" s="6" t="s">
        <v>197</v>
      </c>
    </row>
    <row r="155" customFormat="false" ht="23.85" hidden="false" customHeight="false" outlineLevel="0" collapsed="false">
      <c r="A155" s="38" t="s">
        <v>1082</v>
      </c>
      <c r="B155" s="6" t="s">
        <v>1084</v>
      </c>
      <c r="C155" s="6" t="s">
        <v>1271</v>
      </c>
      <c r="D155" s="6" t="s">
        <v>1321</v>
      </c>
      <c r="E155" s="6" t="s">
        <v>1227</v>
      </c>
      <c r="F155" s="6" t="s">
        <v>197</v>
      </c>
    </row>
    <row r="156" customFormat="false" ht="23.85" hidden="false" customHeight="false" outlineLevel="0" collapsed="false">
      <c r="A156" s="38" t="s">
        <v>1086</v>
      </c>
      <c r="B156" s="6" t="s">
        <v>1088</v>
      </c>
      <c r="C156" s="6" t="s">
        <v>1271</v>
      </c>
      <c r="D156" s="6" t="s">
        <v>1296</v>
      </c>
      <c r="E156" s="6" t="s">
        <v>1227</v>
      </c>
      <c r="F156" s="6" t="s">
        <v>197</v>
      </c>
    </row>
    <row r="157" customFormat="false" ht="23.85" hidden="false" customHeight="false" outlineLevel="0" collapsed="false">
      <c r="A157" s="38" t="s">
        <v>1090</v>
      </c>
      <c r="B157" s="6" t="s">
        <v>1092</v>
      </c>
      <c r="C157" s="6" t="s">
        <v>1277</v>
      </c>
      <c r="D157" s="6" t="s">
        <v>1321</v>
      </c>
      <c r="E157" s="6" t="s">
        <v>1227</v>
      </c>
      <c r="F157" s="6" t="s">
        <v>197</v>
      </c>
    </row>
    <row r="158" customFormat="false" ht="23.85" hidden="false" customHeight="false" outlineLevel="0" collapsed="false">
      <c r="A158" s="38" t="s">
        <v>1096</v>
      </c>
      <c r="B158" s="6" t="s">
        <v>1098</v>
      </c>
      <c r="C158" s="6" t="s">
        <v>1271</v>
      </c>
      <c r="D158" s="6" t="s">
        <v>1321</v>
      </c>
      <c r="E158" s="6" t="s">
        <v>1227</v>
      </c>
      <c r="F158" s="6" t="s">
        <v>197</v>
      </c>
    </row>
    <row r="159" customFormat="false" ht="23.85" hidden="false" customHeight="false" outlineLevel="0" collapsed="false">
      <c r="A159" s="38" t="s">
        <v>1101</v>
      </c>
      <c r="B159" s="6" t="s">
        <v>1103</v>
      </c>
      <c r="C159" s="6" t="s">
        <v>1271</v>
      </c>
      <c r="D159" s="6" t="s">
        <v>1321</v>
      </c>
      <c r="E159" s="6" t="s">
        <v>1227</v>
      </c>
      <c r="F159" s="6" t="s">
        <v>197</v>
      </c>
    </row>
    <row r="160" customFormat="false" ht="35.05" hidden="false" customHeight="false" outlineLevel="0" collapsed="false">
      <c r="A160" s="38" t="s">
        <v>1107</v>
      </c>
      <c r="B160" s="6" t="s">
        <v>1109</v>
      </c>
      <c r="C160" s="6" t="s">
        <v>1271</v>
      </c>
      <c r="D160" s="6" t="s">
        <v>1321</v>
      </c>
      <c r="E160" s="6" t="s">
        <v>1227</v>
      </c>
      <c r="F160" s="6" t="s">
        <v>197</v>
      </c>
    </row>
    <row r="161" customFormat="false" ht="23.85" hidden="false" customHeight="false" outlineLevel="0" collapsed="false">
      <c r="A161" s="38" t="s">
        <v>1111</v>
      </c>
      <c r="B161" s="6" t="s">
        <v>1113</v>
      </c>
      <c r="C161" s="6" t="s">
        <v>1171</v>
      </c>
      <c r="D161" s="6" t="s">
        <v>1322</v>
      </c>
      <c r="E161" s="6" t="s">
        <v>1227</v>
      </c>
      <c r="F161" s="6" t="s">
        <v>197</v>
      </c>
    </row>
    <row r="162" customFormat="false" ht="35.05" hidden="false" customHeight="false" outlineLevel="0" collapsed="false">
      <c r="A162" s="38" t="s">
        <v>1116</v>
      </c>
      <c r="B162" s="6" t="s">
        <v>1118</v>
      </c>
      <c r="C162" s="6" t="s">
        <v>1171</v>
      </c>
      <c r="D162" s="6" t="s">
        <v>1323</v>
      </c>
      <c r="E162" s="6" t="s">
        <v>1173</v>
      </c>
      <c r="F162" s="6" t="s">
        <v>1324</v>
      </c>
    </row>
    <row r="163" customFormat="false" ht="23.85" hidden="false" customHeight="false" outlineLevel="0" collapsed="false">
      <c r="A163" s="38" t="s">
        <v>1123</v>
      </c>
      <c r="B163" s="6" t="s">
        <v>1125</v>
      </c>
      <c r="C163" s="6" t="s">
        <v>1171</v>
      </c>
      <c r="D163" s="6" t="s">
        <v>1323</v>
      </c>
      <c r="E163" s="6" t="s">
        <v>1173</v>
      </c>
      <c r="F163" s="6" t="s">
        <v>197</v>
      </c>
    </row>
    <row r="164" customFormat="false" ht="35.05" hidden="false" customHeight="false" outlineLevel="0" collapsed="false">
      <c r="A164" s="38" t="s">
        <v>1129</v>
      </c>
      <c r="B164" s="6" t="s">
        <v>1131</v>
      </c>
      <c r="C164" s="6" t="s">
        <v>1171</v>
      </c>
      <c r="D164" s="6" t="s">
        <v>1323</v>
      </c>
      <c r="E164" s="6" t="s">
        <v>1173</v>
      </c>
      <c r="F164" s="6" t="s">
        <v>197</v>
      </c>
    </row>
    <row r="165" customFormat="false" ht="23.85" hidden="false" customHeight="false" outlineLevel="0" collapsed="false">
      <c r="A165" s="38" t="s">
        <v>1135</v>
      </c>
      <c r="B165" s="6" t="s">
        <v>1137</v>
      </c>
      <c r="C165" s="6" t="s">
        <v>1171</v>
      </c>
      <c r="D165" s="6" t="s">
        <v>1325</v>
      </c>
      <c r="E165" s="6" t="s">
        <v>1173</v>
      </c>
      <c r="F165" s="6" t="s">
        <v>1283</v>
      </c>
    </row>
    <row r="166" customFormat="false" ht="35.05" hidden="false" customHeight="false" outlineLevel="0" collapsed="false">
      <c r="A166" s="38" t="s">
        <v>1142</v>
      </c>
      <c r="B166" s="6" t="s">
        <v>1144</v>
      </c>
      <c r="C166" s="6" t="s">
        <v>1171</v>
      </c>
      <c r="D166" s="6" t="s">
        <v>1323</v>
      </c>
      <c r="E166" s="6" t="s">
        <v>1173</v>
      </c>
      <c r="F166" s="6" t="s">
        <v>197</v>
      </c>
    </row>
    <row r="167" customFormat="false" ht="23.85" hidden="false" customHeight="false" outlineLevel="0" collapsed="false">
      <c r="A167" s="38" t="s">
        <v>1147</v>
      </c>
      <c r="B167" s="6" t="s">
        <v>1149</v>
      </c>
      <c r="C167" s="6" t="s">
        <v>1171</v>
      </c>
      <c r="D167" s="6" t="s">
        <v>1323</v>
      </c>
      <c r="E167" s="6" t="s">
        <v>1173</v>
      </c>
      <c r="F167" s="6" t="s">
        <v>197</v>
      </c>
    </row>
    <row r="168" customFormat="false" ht="23.85" hidden="false" customHeight="false" outlineLevel="0" collapsed="false">
      <c r="A168" s="38" t="s">
        <v>1151</v>
      </c>
      <c r="B168" s="6" t="s">
        <v>1153</v>
      </c>
      <c r="C168" s="6" t="s">
        <v>1171</v>
      </c>
      <c r="D168" s="6" t="s">
        <v>1291</v>
      </c>
      <c r="E168" s="6" t="s">
        <v>1173</v>
      </c>
      <c r="F168" s="6" t="s">
        <v>1280</v>
      </c>
    </row>
    <row r="169" customFormat="false" ht="23.85" hidden="false" customHeight="false" outlineLevel="0" collapsed="false">
      <c r="A169" s="38" t="s">
        <v>1157</v>
      </c>
      <c r="B169" s="6" t="s">
        <v>1159</v>
      </c>
      <c r="C169" s="6" t="s">
        <v>1171</v>
      </c>
      <c r="D169" s="6" t="s">
        <v>1298</v>
      </c>
      <c r="E169" s="6" t="s">
        <v>1173</v>
      </c>
      <c r="F169" s="6" t="s">
        <v>1299</v>
      </c>
    </row>
  </sheetData>
  <autoFilter ref="A4:F169"/>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F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7"/>
    <col collapsed="false" customWidth="true" hidden="false" outlineLevel="0" max="3" min="3" style="0" width="21"/>
    <col collapsed="false" customWidth="true" hidden="false" outlineLevel="0" max="4" min="4" style="0" width="14"/>
    <col collapsed="false" customWidth="true" hidden="false" outlineLevel="0" max="5" min="5" style="0" width="16"/>
    <col collapsed="false" customWidth="true" hidden="false" outlineLevel="0" max="6" min="6" style="0" width="27"/>
  </cols>
  <sheetData>
    <row r="1" customFormat="false" ht="15" hidden="false" customHeight="false" outlineLevel="0" collapsed="false">
      <c r="A1" s="39" t="s">
        <v>1326</v>
      </c>
      <c r="B1" s="39" t="s">
        <v>23</v>
      </c>
      <c r="C1" s="39" t="s">
        <v>1327</v>
      </c>
      <c r="D1" s="39" t="s">
        <v>1328</v>
      </c>
      <c r="E1" s="39" t="s">
        <v>1329</v>
      </c>
      <c r="F1" s="39" t="s">
        <v>1330</v>
      </c>
    </row>
    <row r="2" customFormat="false" ht="15" hidden="false" customHeight="false" outlineLevel="0" collapsed="false">
      <c r="A2" s="0" t="s">
        <v>176</v>
      </c>
      <c r="B2" s="0" t="s">
        <v>131</v>
      </c>
      <c r="C2" s="0" t="s">
        <v>185</v>
      </c>
      <c r="D2" s="0" t="s">
        <v>124</v>
      </c>
      <c r="E2" s="0" t="s">
        <v>117</v>
      </c>
      <c r="F2" s="0" t="s">
        <v>198</v>
      </c>
    </row>
    <row r="3" customFormat="false" ht="15" hidden="false" customHeight="false" outlineLevel="0" collapsed="false">
      <c r="A3" s="0" t="s">
        <v>236</v>
      </c>
      <c r="B3" s="0" t="s">
        <v>132</v>
      </c>
      <c r="C3" s="0" t="s">
        <v>419</v>
      </c>
      <c r="D3" s="0" t="s">
        <v>125</v>
      </c>
      <c r="E3" s="0" t="s">
        <v>118</v>
      </c>
      <c r="F3" s="0" t="s">
        <v>257</v>
      </c>
    </row>
    <row r="4" customFormat="false" ht="15" hidden="false" customHeight="false" outlineLevel="0" collapsed="false">
      <c r="B4" s="0" t="s">
        <v>133</v>
      </c>
      <c r="C4" s="0" t="s">
        <v>1331</v>
      </c>
      <c r="D4" s="0" t="s">
        <v>126</v>
      </c>
      <c r="E4" s="0" t="s">
        <v>119</v>
      </c>
      <c r="F4" s="0" t="s">
        <v>492</v>
      </c>
    </row>
    <row r="5" customFormat="false" ht="15" hidden="false" customHeight="false" outlineLevel="0" collapsed="false">
      <c r="B5" s="0" t="s">
        <v>134</v>
      </c>
      <c r="C5" s="0" t="s">
        <v>1332</v>
      </c>
      <c r="D5" s="0" t="s">
        <v>127</v>
      </c>
      <c r="E5" s="0" t="s">
        <v>120</v>
      </c>
      <c r="F5" s="0" t="s">
        <v>371</v>
      </c>
    </row>
    <row r="6" customFormat="false" ht="15" hidden="false" customHeight="false" outlineLevel="0" collapsed="false">
      <c r="B6" s="0" t="s">
        <v>135</v>
      </c>
      <c r="C6" s="0" t="s">
        <v>1333</v>
      </c>
      <c r="E6" s="0" t="s">
        <v>121</v>
      </c>
      <c r="F6" s="0" t="s">
        <v>393</v>
      </c>
    </row>
    <row r="7" customFormat="false" ht="15" hidden="false" customHeight="false" outlineLevel="0" collapsed="false">
      <c r="C7" s="0" t="s">
        <v>1334</v>
      </c>
      <c r="F7" s="0" t="s">
        <v>187</v>
      </c>
    </row>
    <row r="8" customFormat="false" ht="15" hidden="false" customHeight="false" outlineLevel="0" collapsed="false">
      <c r="C8" s="0" t="s">
        <v>278</v>
      </c>
      <c r="F8" s="0" t="s">
        <v>222</v>
      </c>
    </row>
    <row r="9" customFormat="false" ht="15" hidden="false" customHeight="false" outlineLevel="0" collapsed="false">
      <c r="C9" s="0" t="s">
        <v>478</v>
      </c>
      <c r="F9" s="0" t="s">
        <v>560</v>
      </c>
    </row>
    <row r="10" customFormat="false" ht="15" hidden="false" customHeight="false" outlineLevel="0" collapsed="false">
      <c r="C10" s="0" t="s">
        <v>905</v>
      </c>
      <c r="F10" s="0" t="s">
        <v>272</v>
      </c>
    </row>
    <row r="11" customFormat="false" ht="15" hidden="false" customHeight="false" outlineLevel="0" collapsed="false">
      <c r="C11" s="0" t="s">
        <v>1335</v>
      </c>
      <c r="F11" s="0" t="s">
        <v>784</v>
      </c>
    </row>
    <row r="12" customFormat="false" ht="15" hidden="false" customHeight="false" outlineLevel="0" collapsed="false">
      <c r="F12" s="0" t="s">
        <v>214</v>
      </c>
    </row>
    <row r="13" customFormat="false" ht="15" hidden="false" customHeight="false" outlineLevel="0" collapsed="false">
      <c r="F13" s="0" t="s">
        <v>978</v>
      </c>
    </row>
    <row r="14" customFormat="false" ht="15" hidden="false" customHeight="false" outlineLevel="0" collapsed="false">
      <c r="F14" s="0" t="s">
        <v>634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 and Ankush Jain)</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Assurance</cp:category>
  <dcterms:created xsi:type="dcterms:W3CDTF">2026-10-24T11:49:28Z</dcterms:created>
  <dc:creator>Nachiket Sathaye; Ankush Jain</dc:creator>
  <dc:description>Copyright (c) 2026 Nachiket Sathaye and Ankush Jain. Licensed under CC BY-SA 4.0: https://creativecommons.org/licenses/by-sa/4.0/. Source: https://nachi065.github.io/AI-Security-Wiki/</dc:description>
  <cp:keywords>AI security requirements vendor assessment ISO/IEC 42001 NIST AI RMF CC BY-SA 4.0</cp:keywords>
  <dc:language>en-US</dc:language>
  <cp:lastModifiedBy>Nachiket Sathaye</cp:lastModifiedBy>
  <dcterms:modified xsi:type="dcterms:W3CDTF">2026-10-24T11:49:29Z</dcterms:modified>
  <cp:revision>0</cp:revision>
  <dc:subject>AI security assurance requirements baseline for reviewing AI, GenAI and agentic systems</dc:subject>
  <dc:title>AI Security Assurance Baseline</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 and Ankush Jain</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Source">
    <vt:lpwstr>https://nachi065.github.io/AI-Security-Wiki/</vt:lpwstr>
  </property>
</Properties>
</file>