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3" autoFilterDateGrouping="1"/>
  </bookViews>
  <sheets>
    <sheet xmlns:r="http://schemas.openxmlformats.org/officeDocument/2006/relationships" name="README" sheetId="1" state="visible" r:id="rId1"/>
    <sheet xmlns:r="http://schemas.openxmlformats.org/officeDocument/2006/relationships" name="License" sheetId="2" state="visible" r:id="rId2"/>
    <sheet xmlns:r="http://schemas.openxmlformats.org/officeDocument/2006/relationships" name="Dashboard" sheetId="3" state="visible" r:id="rId3"/>
    <sheet xmlns:r="http://schemas.openxmlformats.org/officeDocument/2006/relationships" name="AI Risk Register" sheetId="4" state="visible" r:id="rId4"/>
    <sheet xmlns:r="http://schemas.openxmlformats.org/officeDocument/2006/relationships" name="Guidelines" sheetId="5" state="visible" r:id="rId5"/>
    <sheet xmlns:r="http://schemas.openxmlformats.org/officeDocument/2006/relationships" name="Triage" sheetId="6" state="visible" r:id="rId6"/>
    <sheet xmlns:r="http://schemas.openxmlformats.org/officeDocument/2006/relationships" name="Methodology" sheetId="7" state="visible" r:id="rId7"/>
    <sheet xmlns:r="http://schemas.openxmlformats.org/officeDocument/2006/relationships" name="Settings" sheetId="8" state="visible" r:id="rId8"/>
    <sheet xmlns:r="http://schemas.openxmlformats.org/officeDocument/2006/relationships" name="AI Risk Library" sheetId="9" state="visible" r:id="rId9"/>
    <sheet xmlns:r="http://schemas.openxmlformats.org/officeDocument/2006/relationships" name="Control Library" sheetId="10" state="visible" r:id="rId10"/>
    <sheet xmlns:r="http://schemas.openxmlformats.org/officeDocument/2006/relationships" name="Framework Matrix" sheetId="11" state="visible" r:id="rId11"/>
    <sheet xmlns:r="http://schemas.openxmlformats.org/officeDocument/2006/relationships" name="Framework Crosswalk" sheetId="12" state="visible" r:id="rId12"/>
    <sheet xmlns:r="http://schemas.openxmlformats.org/officeDocument/2006/relationships" name="Regulatory Crosswalk" sheetId="13" state="visible" r:id="rId13"/>
    <sheet xmlns:r="http://schemas.openxmlformats.org/officeDocument/2006/relationships" name="Control Gaps" sheetId="14" state="visible" r:id="rId14"/>
    <sheet xmlns:r="http://schemas.openxmlformats.org/officeDocument/2006/relationships" name="Threat Library" sheetId="15" state="visible" r:id="rId15"/>
    <sheet xmlns:r="http://schemas.openxmlformats.org/officeDocument/2006/relationships" name="Lists" sheetId="16" state="visible" r:id="rId16"/>
  </sheets>
  <definedNames>
    <definedName name="_xlnm._FilterDatabase" localSheetId="3" hidden="1">'AI Risk Register'!$A$4:$BM$150</definedName>
    <definedName name="_xlnm._FilterDatabase" localSheetId="8" hidden="1">'AI Risk Library'!$A$4:$M$59</definedName>
    <definedName name="_xlnm._FilterDatabase" localSheetId="9" hidden="1">'Control Library'!$A$4:$V$50</definedName>
    <definedName name="_xlnm._FilterDatabase" localSheetId="11" hidden="1">'Framework Crosswalk'!$A$4:$K$781</definedName>
    <definedName name="_xlnm._FilterDatabase" localSheetId="12" hidden="1">'Regulatory Crosswalk'!$A$4:$K$200</definedName>
    <definedName name="_xlnm._FilterDatabase" localSheetId="13" hidden="1">'Control Gaps'!$A$4:$H$50</definedName>
    <definedName name="_xlnm._FilterDatabase" localSheetId="14" hidden="1">'Threat Library'!$A$4:$F$101</definedName>
  </definedNames>
  <calcPr calcId="124519" fullCalcOnLoad="1"/>
</workbook>
</file>

<file path=xl/styles.xml><?xml version="1.0" encoding="utf-8"?>
<styleSheet xmlns="http://schemas.openxmlformats.org/spreadsheetml/2006/main">
  <numFmts count="1">
    <numFmt numFmtId="164" formatCode="dd-mmm-yyyy"/>
  </numFmts>
  <fonts count="29">
    <font>
      <name val="Calibri"/>
      <family val="2"/>
      <color theme="1"/>
      <sz val="11"/>
      <scheme val="minor"/>
    </font>
    <font>
      <name val="Arial"/>
      <b val="1"/>
      <sz val="10"/>
    </font>
    <font>
      <name val="Arial"/>
      <sz val="10"/>
    </font>
    <font>
      <name val="Arial"/>
      <b val="1"/>
      <color rgb="001F3864"/>
      <sz val="14"/>
    </font>
    <font>
      <name val="Arial"/>
      <i val="1"/>
      <color rgb="00595959"/>
      <sz val="10"/>
    </font>
    <font>
      <name val="Arial"/>
      <b val="1"/>
      <sz val="11"/>
    </font>
    <font>
      <name val="Arial"/>
      <b val="1"/>
      <color rgb="00FFFFFF"/>
      <sz val="10"/>
    </font>
    <font>
      <name val="Arial"/>
      <i val="1"/>
      <color rgb="00C00000"/>
      <sz val="10"/>
    </font>
    <font>
      <name val="Arial"/>
      <b val="1"/>
      <color rgb="00FFFFFF"/>
      <sz val="11"/>
    </font>
    <font>
      <name val="Arial"/>
      <b val="1"/>
      <color rgb="00FFFFFF"/>
      <sz val="9"/>
    </font>
    <font>
      <name val="Arial"/>
      <b val="1"/>
      <color rgb="001F3864"/>
      <sz val="11"/>
    </font>
    <font>
      <name val="Arial"/>
      <b val="1"/>
      <color rgb="00C00000"/>
      <sz val="11"/>
    </font>
    <font>
      <name val="Arial"/>
      <b val="1"/>
      <color rgb="001F3864"/>
      <sz val="12"/>
    </font>
    <font>
      <name val="Arial"/>
      <color rgb="000563C1"/>
      <u val="single"/>
    </font>
    <font>
      <name val="Arial"/>
      <i val="1"/>
      <color rgb="00595959"/>
      <sz val="9"/>
    </font>
    <font>
      <name val="Arial"/>
      <b val="1"/>
      <color rgb="00FFFFFF"/>
      <sz val="16"/>
    </font>
    <font>
      <name val="Arial"/>
      <b val="1"/>
      <color rgb="001F3864"/>
    </font>
    <font>
      <name val="Arial"/>
      <b val="1"/>
    </font>
    <font>
      <name val="Arial"/>
      <b val="1"/>
      <color rgb="00C55A11"/>
      <sz val="12"/>
    </font>
    <font>
      <name val="Arial"/>
      <b val="1"/>
      <color rgb="00FFFFFF"/>
    </font>
    <font>
      <name val="Arial"/>
      <b val="1"/>
      <color rgb="002F5597"/>
      <sz val="12"/>
    </font>
    <font>
      <name val="Arial"/>
      <b val="1"/>
      <color rgb="00C00000"/>
      <sz val="12"/>
    </font>
    <font>
      <name val="Arial"/>
      <b val="1"/>
      <color rgb="00FF0000"/>
      <sz val="12"/>
    </font>
    <font>
      <name val="Arial"/>
      <b val="1"/>
      <color rgb="00BF8F00"/>
      <sz val="12"/>
    </font>
    <font>
      <name val="Arial"/>
      <b val="1"/>
      <color rgb="007F7F7F"/>
      <sz val="12"/>
    </font>
    <font>
      <name val="Arial"/>
      <b val="1"/>
      <color rgb="00548235"/>
      <sz val="12"/>
    </font>
    <font>
      <name val="Arial"/>
      <b val="1"/>
      <color rgb="007030A0"/>
      <sz val="12"/>
    </font>
    <font>
      <name val="Arial"/>
      <b val="1"/>
      <sz val="12"/>
    </font>
    <font>
      <name val="Arial"/>
      <b val="1"/>
      <color rgb="00FFFFFF"/>
      <sz val="12"/>
    </font>
  </fonts>
  <fills count="60">
    <fill>
      <patternFill/>
    </fill>
    <fill>
      <patternFill patternType="gray125"/>
    </fill>
    <fill>
      <patternFill patternType="solid">
        <fgColor rgb="001F3864"/>
      </patternFill>
    </fill>
    <fill>
      <patternFill patternType="solid">
        <fgColor rgb="00FFFFFF"/>
      </patternFill>
    </fill>
    <fill>
      <patternFill patternType="solid">
        <fgColor rgb="00FCE4D6"/>
      </patternFill>
    </fill>
    <fill>
      <patternFill patternType="solid">
        <fgColor rgb="00C6EFCE"/>
      </patternFill>
    </fill>
    <fill>
      <patternFill patternType="solid">
        <fgColor rgb="00FFEB9C"/>
      </patternFill>
    </fill>
    <fill>
      <patternFill patternType="solid">
        <fgColor rgb="00F8CBAD"/>
      </patternFill>
    </fill>
    <fill>
      <patternFill patternType="solid">
        <fgColor rgb="00FF7C80"/>
      </patternFill>
    </fill>
    <fill>
      <patternFill patternType="solid">
        <fgColor rgb="00FFF2CC"/>
      </patternFill>
    </fill>
    <fill>
      <patternFill patternType="solid">
        <fgColor rgb="00E7E6E6"/>
      </patternFill>
    </fill>
    <fill>
      <patternFill patternType="solid">
        <fgColor rgb="002F5597"/>
      </patternFill>
    </fill>
    <fill>
      <patternFill patternType="solid">
        <fgColor rgb="007030A0"/>
      </patternFill>
    </fill>
    <fill>
      <patternFill patternType="solid">
        <fgColor rgb="00C55A11"/>
      </patternFill>
    </fill>
    <fill>
      <patternFill patternType="solid">
        <fgColor rgb="00548235"/>
      </patternFill>
    </fill>
    <fill>
      <patternFill patternType="solid">
        <fgColor rgb="001F6E8C"/>
      </patternFill>
    </fill>
    <fill>
      <patternFill patternType="solid">
        <fgColor rgb="00DDEBF7"/>
      </patternFill>
    </fill>
    <fill>
      <patternFill patternType="solid">
        <fgColor rgb="00FBE5D6"/>
      </patternFill>
    </fill>
    <fill>
      <patternFill patternType="solid">
        <fgColor rgb="00EEF5FC"/>
      </patternFill>
    </fill>
    <fill>
      <patternFill patternType="solid">
        <fgColor rgb="00FDF2EA"/>
      </patternFill>
    </fill>
    <fill>
      <patternFill patternType="solid">
        <fgColor rgb="00A50021"/>
      </patternFill>
    </fill>
    <fill>
      <patternFill patternType="solid">
        <fgColor rgb="00203864"/>
      </patternFill>
    </fill>
    <fill>
      <patternFill patternType="solid">
        <fgColor rgb="00375623"/>
      </patternFill>
    </fill>
    <fill>
      <patternFill patternType="solid">
        <fgColor rgb="00BF8F00"/>
      </patternFill>
    </fill>
    <fill>
      <patternFill patternType="solid">
        <fgColor rgb="00C00000"/>
      </patternFill>
    </fill>
    <fill>
      <patternFill patternType="solid">
        <fgColor rgb="00FBEAEA"/>
      </patternFill>
    </fill>
    <fill>
      <patternFill patternType="solid">
        <fgColor rgb="007F6000"/>
      </patternFill>
    </fill>
    <fill>
      <patternFill patternType="solid">
        <fgColor rgb="00FFF8E1"/>
      </patternFill>
    </fill>
    <fill>
      <patternFill patternType="solid">
        <fgColor rgb="00FDF1E8"/>
      </patternFill>
    </fill>
    <fill>
      <patternFill patternType="solid">
        <fgColor rgb="00E8F3F7"/>
      </patternFill>
    </fill>
    <fill>
      <patternFill patternType="solid">
        <fgColor rgb="00F3ECFA"/>
      </patternFill>
    </fill>
    <fill>
      <patternFill patternType="solid">
        <fgColor rgb="00EEF3FA"/>
      </patternFill>
    </fill>
    <fill>
      <patternFill patternType="solid">
        <fgColor rgb="00EEF5E9"/>
      </patternFill>
    </fill>
    <fill>
      <patternFill patternType="solid">
        <fgColor rgb="00833C0B"/>
      </patternFill>
    </fill>
    <fill>
      <patternFill patternType="solid">
        <fgColor rgb="00FBEFE6"/>
      </patternFill>
    </fill>
    <fill>
      <patternFill patternType="solid">
        <fgColor rgb="00FCEBEE"/>
      </patternFill>
    </fill>
    <fill>
      <patternFill patternType="solid">
        <fgColor rgb="00EAEFF7"/>
      </patternFill>
    </fill>
    <fill>
      <patternFill patternType="solid">
        <fgColor rgb="00806000"/>
      </patternFill>
    </fill>
    <fill>
      <patternFill patternType="solid">
        <fgColor rgb="003A3A8C"/>
      </patternFill>
    </fill>
    <fill>
      <patternFill patternType="solid">
        <fgColor rgb="003A3A3A"/>
      </patternFill>
    </fill>
    <fill>
      <patternFill patternType="solid">
        <fgColor rgb="00E4DFEC"/>
      </patternFill>
    </fill>
    <fill>
      <patternFill patternType="solid">
        <fgColor rgb="00E2EFDA"/>
      </patternFill>
    </fill>
    <fill>
      <patternFill patternType="solid">
        <fgColor rgb="00F2F2F2"/>
      </patternFill>
    </fill>
    <fill>
      <patternFill patternType="solid">
        <fgColor rgb="00FF0000"/>
      </patternFill>
    </fill>
    <fill>
      <patternFill patternType="solid">
        <fgColor rgb="007F7F7F"/>
      </patternFill>
    </fill>
    <fill>
      <patternFill patternType="solid">
        <fgColor rgb="00FF9999"/>
      </patternFill>
    </fill>
    <fill>
      <patternFill patternType="solid">
        <fgColor rgb="00FFD966"/>
      </patternFill>
    </fill>
    <fill>
      <patternFill patternType="solid">
        <fgColor rgb="00C6E0B4"/>
      </patternFill>
    </fill>
    <fill>
      <patternFill patternType="solid">
        <fgColor rgb="00D9C3E9"/>
      </patternFill>
    </fill>
    <fill>
      <patternFill patternType="solid">
        <fgColor rgb="00BDD7EE"/>
      </patternFill>
    </fill>
    <fill>
      <patternFill patternType="solid">
        <fgColor rgb="0092D050"/>
      </patternFill>
    </fill>
    <fill>
      <patternFill patternType="solid">
        <fgColor rgb="00B4C7E7"/>
      </patternFill>
    </fill>
    <fill>
      <patternFill patternType="solid">
        <fgColor rgb="00C9E2B3"/>
      </patternFill>
    </fill>
    <fill>
      <patternFill patternType="solid">
        <fgColor rgb="00F4B183"/>
      </patternFill>
    </fill>
    <fill>
      <patternFill patternType="solid">
        <fgColor rgb="00FFE699"/>
      </patternFill>
    </fill>
    <fill>
      <patternFill patternType="solid">
        <fgColor rgb="00D5A6E6"/>
      </patternFill>
    </fill>
    <fill>
      <patternFill patternType="solid">
        <fgColor rgb="009DC3E6"/>
      </patternFill>
    </fill>
    <fill>
      <patternFill patternType="solid">
        <fgColor rgb="00C5E0B4"/>
      </patternFill>
    </fill>
    <fill>
      <patternFill patternType="solid">
        <fgColor rgb="00B7DEE8"/>
      </patternFill>
    </fill>
    <fill>
      <patternFill patternType="solid">
        <fgColor rgb="00D9D2E9"/>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style="thin">
        <color rgb="00BFBFBF"/>
      </right>
      <top style="thin">
        <color rgb="00BFBFBF"/>
      </top>
      <bottom style="thin">
        <color rgb="00BFBFBF"/>
      </bottom>
      <diagonal/>
    </border>
    <border>
      <left/>
      <right/>
      <top style="thin">
        <color rgb="00BFBFBF"/>
      </top>
      <bottom style="thin">
        <color rgb="00BFBFBF"/>
      </bottom>
      <diagonal/>
    </border>
  </borders>
  <cellStyleXfs count="1">
    <xf numFmtId="0" fontId="0" fillId="0" borderId="0"/>
  </cellStyleXfs>
  <cellXfs count="170">
    <xf numFmtId="0" fontId="0" fillId="0" borderId="0" pivotButton="0" quotePrefix="0" xfId="0"/>
    <xf numFmtId="0" fontId="15" fillId="24" borderId="0" applyAlignment="1" pivotButton="0" quotePrefix="0" xfId="0">
      <alignment vertical="center"/>
    </xf>
    <xf numFmtId="0" fontId="0" fillId="24" borderId="0" pivotButton="0" quotePrefix="0" xfId="0"/>
    <xf numFmtId="0" fontId="4" fillId="0" borderId="0" pivotButton="0" quotePrefix="0" xfId="0"/>
    <xf numFmtId="0" fontId="28" fillId="24" borderId="0" pivotButton="0" quotePrefix="0" xfId="0"/>
    <xf numFmtId="0" fontId="1" fillId="3" borderId="1" applyAlignment="1" pivotButton="0" quotePrefix="0" xfId="0">
      <alignment vertical="top" wrapText="1"/>
    </xf>
    <xf numFmtId="0" fontId="2" fillId="3" borderId="1" applyAlignment="1" pivotButton="0" quotePrefix="0" xfId="0">
      <alignment vertical="top" wrapText="1"/>
    </xf>
    <xf numFmtId="0" fontId="1" fillId="25" borderId="1" applyAlignment="1" pivotButton="0" quotePrefix="0" xfId="0">
      <alignment vertical="top" wrapText="1"/>
    </xf>
    <xf numFmtId="0" fontId="2" fillId="25" borderId="1" applyAlignment="1" pivotButton="0" quotePrefix="0" xfId="0">
      <alignment vertical="top" wrapText="1"/>
    </xf>
    <xf numFmtId="0" fontId="14" fillId="0" borderId="0" applyAlignment="1" pivotButton="0" quotePrefix="0" xfId="0">
      <alignment vertical="top" wrapText="1"/>
    </xf>
    <xf numFmtId="0" fontId="15" fillId="39" borderId="0" applyAlignment="1" pivotButton="0" quotePrefix="0" xfId="0">
      <alignment vertical="center"/>
    </xf>
    <xf numFmtId="0" fontId="0" fillId="39" borderId="0" pivotButton="0" quotePrefix="0" xfId="0"/>
    <xf numFmtId="0" fontId="12" fillId="0" borderId="0" pivotButton="0" quotePrefix="0" xfId="0"/>
    <xf numFmtId="0" fontId="13" fillId="3" borderId="1" applyAlignment="1" pivotButton="0" quotePrefix="0" xfId="0">
      <alignment vertical="top" wrapText="1"/>
    </xf>
    <xf numFmtId="0" fontId="15" fillId="14" borderId="0" applyAlignment="1" pivotButton="0" quotePrefix="0" xfId="0">
      <alignment vertical="center"/>
    </xf>
    <xf numFmtId="0" fontId="0" fillId="14" borderId="0" pivotButton="0" quotePrefix="0" xfId="0"/>
    <xf numFmtId="0" fontId="6" fillId="14" borderId="1" applyAlignment="1" pivotButton="0" quotePrefix="0" xfId="0">
      <alignment horizontal="center" vertical="top" wrapText="1"/>
    </xf>
    <xf numFmtId="0" fontId="25" fillId="0" borderId="0" pivotButton="0" quotePrefix="0" xfId="0"/>
    <xf numFmtId="0" fontId="1" fillId="8" borderId="1" applyAlignment="1" pivotButton="0" quotePrefix="0" xfId="0">
      <alignment vertical="top" wrapText="1"/>
    </xf>
    <xf numFmtId="0" fontId="27" fillId="10" borderId="1" applyAlignment="1" pivotButton="0" quotePrefix="0" xfId="0">
      <alignment horizontal="center" vertical="top" wrapText="1"/>
    </xf>
    <xf numFmtId="0" fontId="17" fillId="45" borderId="1" applyAlignment="1" pivotButton="0" quotePrefix="0" xfId="0">
      <alignment vertical="top" wrapText="1"/>
    </xf>
    <xf numFmtId="0" fontId="2" fillId="10" borderId="1" applyAlignment="1" pivotButton="0" quotePrefix="0" xfId="0">
      <alignment horizontal="center" vertical="top" wrapText="1"/>
    </xf>
    <xf numFmtId="0" fontId="1" fillId="7" borderId="1" applyAlignment="1" pivotButton="0" quotePrefix="0" xfId="0">
      <alignment vertical="top" wrapText="1"/>
    </xf>
    <xf numFmtId="0" fontId="17" fillId="46" borderId="1" applyAlignment="1" pivotButton="0" quotePrefix="0" xfId="0">
      <alignment vertical="top" wrapText="1"/>
    </xf>
    <xf numFmtId="0" fontId="1" fillId="6" borderId="1" applyAlignment="1" pivotButton="0" quotePrefix="0" xfId="0">
      <alignment vertical="top" wrapText="1"/>
    </xf>
    <xf numFmtId="0" fontId="17" fillId="47" borderId="1" applyAlignment="1" pivotButton="0" quotePrefix="0" xfId="0">
      <alignment vertical="top" wrapText="1"/>
    </xf>
    <xf numFmtId="0" fontId="1" fillId="5" borderId="1" applyAlignment="1" pivotButton="0" quotePrefix="0" xfId="0">
      <alignment vertical="top" wrapText="1"/>
    </xf>
    <xf numFmtId="0" fontId="17" fillId="48" borderId="1" applyAlignment="1" pivotButton="0" quotePrefix="0" xfId="0">
      <alignment vertical="top" wrapText="1"/>
    </xf>
    <xf numFmtId="0" fontId="19" fillId="11" borderId="1" applyAlignment="1" pivotButton="0" quotePrefix="0" xfId="0">
      <alignment vertical="top" wrapText="1"/>
    </xf>
    <xf numFmtId="0" fontId="20" fillId="42" borderId="1" applyAlignment="1" pivotButton="0" quotePrefix="0" xfId="0">
      <alignment horizontal="center" vertical="top" wrapText="1"/>
    </xf>
    <xf numFmtId="0" fontId="17" fillId="49" borderId="1" applyAlignment="1" pivotButton="0" quotePrefix="0" xfId="0">
      <alignment vertical="top" wrapText="1"/>
    </xf>
    <xf numFmtId="0" fontId="19" fillId="24" borderId="1" applyAlignment="1" pivotButton="0" quotePrefix="0" xfId="0">
      <alignment vertical="top" wrapText="1"/>
    </xf>
    <xf numFmtId="0" fontId="21" fillId="42" borderId="1" applyAlignment="1" pivotButton="0" quotePrefix="0" xfId="0">
      <alignment horizontal="center" vertical="top" wrapText="1"/>
    </xf>
    <xf numFmtId="0" fontId="17" fillId="50" borderId="1" applyAlignment="1" pivotButton="0" quotePrefix="0" xfId="0">
      <alignment vertical="top" wrapText="1"/>
    </xf>
    <xf numFmtId="0" fontId="19" fillId="13" borderId="1" applyAlignment="1" pivotButton="0" quotePrefix="0" xfId="0">
      <alignment vertical="top" wrapText="1"/>
    </xf>
    <xf numFmtId="0" fontId="18" fillId="42" borderId="1" applyAlignment="1" pivotButton="0" quotePrefix="0" xfId="0">
      <alignment horizontal="center" vertical="top" wrapText="1"/>
    </xf>
    <xf numFmtId="0" fontId="19" fillId="43" borderId="1" applyAlignment="1" pivotButton="0" quotePrefix="0" xfId="0">
      <alignment vertical="top" wrapText="1"/>
    </xf>
    <xf numFmtId="0" fontId="22" fillId="42" borderId="1" applyAlignment="1" pivotButton="0" quotePrefix="0" xfId="0">
      <alignment horizontal="center" vertical="top" wrapText="1"/>
    </xf>
    <xf numFmtId="0" fontId="19" fillId="23" borderId="1" applyAlignment="1" pivotButton="0" quotePrefix="0" xfId="0">
      <alignment vertical="top" wrapText="1"/>
    </xf>
    <xf numFmtId="0" fontId="23" fillId="42" borderId="1" applyAlignment="1" pivotButton="0" quotePrefix="0" xfId="0">
      <alignment horizontal="center" vertical="top" wrapText="1"/>
    </xf>
    <xf numFmtId="0" fontId="19" fillId="44" borderId="1" applyAlignment="1" pivotButton="0" quotePrefix="0" xfId="0">
      <alignment vertical="top" wrapText="1"/>
    </xf>
    <xf numFmtId="0" fontId="24" fillId="42" borderId="1" applyAlignment="1" pivotButton="0" quotePrefix="0" xfId="0">
      <alignment horizontal="center" vertical="top" wrapText="1"/>
    </xf>
    <xf numFmtId="0" fontId="19" fillId="14" borderId="1" applyAlignment="1" pivotButton="0" quotePrefix="0" xfId="0">
      <alignment vertical="top" wrapText="1"/>
    </xf>
    <xf numFmtId="0" fontId="25" fillId="42" borderId="1" applyAlignment="1" pivotButton="0" quotePrefix="0" xfId="0">
      <alignment horizontal="center" vertical="top" wrapText="1"/>
    </xf>
    <xf numFmtId="0" fontId="19" fillId="12" borderId="1" applyAlignment="1" pivotButton="0" quotePrefix="0" xfId="0">
      <alignment vertical="top" wrapText="1"/>
    </xf>
    <xf numFmtId="0" fontId="26" fillId="42" borderId="1" applyAlignment="1" pivotButton="0" quotePrefix="0" xfId="0">
      <alignment horizontal="center" vertical="top" wrapText="1"/>
    </xf>
    <xf numFmtId="0" fontId="17" fillId="7" borderId="1" applyAlignment="1" pivotButton="0" quotePrefix="0" xfId="0">
      <alignment vertical="top" wrapText="1"/>
    </xf>
    <xf numFmtId="0" fontId="1" fillId="10" borderId="1" applyAlignment="1" pivotButton="0" quotePrefix="0" xfId="0">
      <alignment vertical="top" wrapText="1"/>
    </xf>
    <xf numFmtId="0" fontId="1" fillId="10" borderId="1" applyAlignment="1" pivotButton="0" quotePrefix="0" xfId="0">
      <alignment horizontal="center" vertical="top" wrapText="1"/>
    </xf>
    <xf numFmtId="0" fontId="1" fillId="0" borderId="1" applyAlignment="1" pivotButton="0" quotePrefix="0" xfId="0">
      <alignment horizontal="center" vertical="top" wrapText="1"/>
    </xf>
    <xf numFmtId="0" fontId="17" fillId="8" borderId="1" applyAlignment="1" pivotButton="0" quotePrefix="0" xfId="0">
      <alignment horizontal="center" vertical="top" wrapText="1"/>
    </xf>
    <xf numFmtId="0" fontId="17" fillId="7" borderId="1" applyAlignment="1" pivotButton="0" quotePrefix="0" xfId="0">
      <alignment horizontal="center" vertical="top" wrapText="1"/>
    </xf>
    <xf numFmtId="0" fontId="17" fillId="6" borderId="1" applyAlignment="1" pivotButton="0" quotePrefix="0" xfId="0">
      <alignment horizontal="center" vertical="top" wrapText="1"/>
    </xf>
    <xf numFmtId="0" fontId="17" fillId="5" borderId="1" applyAlignment="1" pivotButton="0" quotePrefix="0" xfId="0">
      <alignment horizontal="center" vertical="top" wrapText="1"/>
    </xf>
    <xf numFmtId="0" fontId="2" fillId="51" borderId="1" applyAlignment="1" pivotButton="0" quotePrefix="0" xfId="0">
      <alignment vertical="top" wrapText="1"/>
    </xf>
    <xf numFmtId="0" fontId="2" fillId="52" borderId="1" applyAlignment="1" pivotButton="0" quotePrefix="0" xfId="0">
      <alignment vertical="top" wrapText="1"/>
    </xf>
    <xf numFmtId="0" fontId="2" fillId="53" borderId="1" applyAlignment="1" pivotButton="0" quotePrefix="0" xfId="0">
      <alignment vertical="top" wrapText="1"/>
    </xf>
    <xf numFmtId="0" fontId="2" fillId="54" borderId="1" applyAlignment="1" pivotButton="0" quotePrefix="0" xfId="0">
      <alignment vertical="top" wrapText="1"/>
    </xf>
    <xf numFmtId="0" fontId="2" fillId="45" borderId="1" applyAlignment="1" pivotButton="0" quotePrefix="0" xfId="0">
      <alignment vertical="top" wrapText="1"/>
    </xf>
    <xf numFmtId="0" fontId="2" fillId="55" borderId="1" applyAlignment="1" pivotButton="0" quotePrefix="0" xfId="0">
      <alignment vertical="top" wrapText="1"/>
    </xf>
    <xf numFmtId="0" fontId="2" fillId="56" borderId="1" applyAlignment="1" pivotButton="0" quotePrefix="0" xfId="0">
      <alignment vertical="top" wrapText="1"/>
    </xf>
    <xf numFmtId="0" fontId="2" fillId="57" borderId="1" applyAlignment="1" pivotButton="0" quotePrefix="0" xfId="0">
      <alignment vertical="top" wrapText="1"/>
    </xf>
    <xf numFmtId="0" fontId="2" fillId="7" borderId="1" applyAlignment="1" pivotButton="0" quotePrefix="0" xfId="0">
      <alignment vertical="top" wrapText="1"/>
    </xf>
    <xf numFmtId="0" fontId="2" fillId="58" borderId="1" applyAlignment="1" pivotButton="0" quotePrefix="0" xfId="0">
      <alignment vertical="top" wrapText="1"/>
    </xf>
    <xf numFmtId="0" fontId="2" fillId="46" borderId="1" applyAlignment="1" pivotButton="0" quotePrefix="0" xfId="0">
      <alignment vertical="top" wrapText="1"/>
    </xf>
    <xf numFmtId="0" fontId="2" fillId="59" borderId="1" applyAlignment="1" pivotButton="0" quotePrefix="0" xfId="0">
      <alignment vertical="top" wrapText="1"/>
    </xf>
    <xf numFmtId="0" fontId="15" fillId="11" borderId="0" applyAlignment="1" pivotButton="0" quotePrefix="0" xfId="0">
      <alignment vertical="center"/>
    </xf>
    <xf numFmtId="0" fontId="0" fillId="11" borderId="0" pivotButton="0" quotePrefix="0" xfId="0"/>
    <xf numFmtId="0" fontId="7" fillId="9" borderId="0" applyAlignment="1" pivotButton="0" quotePrefix="0" xfId="0">
      <alignment vertical="top" wrapText="1"/>
    </xf>
    <xf numFmtId="0" fontId="8" fillId="11" borderId="0" applyAlignment="1" pivotButton="0" quotePrefix="0" xfId="0">
      <alignment horizontal="center"/>
    </xf>
    <xf numFmtId="0" fontId="8" fillId="12" borderId="0" applyAlignment="1" pivotButton="0" quotePrefix="0" xfId="0">
      <alignment horizontal="center"/>
    </xf>
    <xf numFmtId="0" fontId="8" fillId="13" borderId="0" applyAlignment="1" pivotButton="0" quotePrefix="0" xfId="0">
      <alignment horizontal="center"/>
    </xf>
    <xf numFmtId="0" fontId="8" fillId="14" borderId="0" applyAlignment="1" pivotButton="0" quotePrefix="0" xfId="0">
      <alignment horizontal="center"/>
    </xf>
    <xf numFmtId="0" fontId="8" fillId="15" borderId="0" applyAlignment="1" pivotButton="0" quotePrefix="0" xfId="0">
      <alignment horizontal="center"/>
    </xf>
    <xf numFmtId="0" fontId="6" fillId="11" borderId="1" applyAlignment="1" pivotButton="0" quotePrefix="0" xfId="0">
      <alignment horizontal="center" vertical="top" wrapText="1"/>
    </xf>
    <xf numFmtId="0" fontId="6" fillId="12" borderId="1" applyAlignment="1" pivotButton="0" quotePrefix="0" xfId="0">
      <alignment horizontal="center" vertical="top" wrapText="1"/>
    </xf>
    <xf numFmtId="0" fontId="6" fillId="13" borderId="1" applyAlignment="1" pivotButton="0" quotePrefix="0" xfId="0">
      <alignment horizontal="center" vertical="top" wrapText="1"/>
    </xf>
    <xf numFmtId="0" fontId="6" fillId="15" borderId="1" applyAlignment="1" pivotButton="0" quotePrefix="0" xfId="0">
      <alignment horizontal="center" vertical="top" wrapText="1"/>
    </xf>
    <xf numFmtId="0" fontId="16" fillId="16" borderId="1" applyAlignment="1" pivotButton="0" quotePrefix="0" xfId="0">
      <alignment horizontal="center" vertical="top" wrapText="1"/>
    </xf>
    <xf numFmtId="0" fontId="17" fillId="16" borderId="1" applyAlignment="1" pivotButton="0" quotePrefix="0" xfId="0">
      <alignment vertical="top" wrapText="1"/>
    </xf>
    <xf numFmtId="49" fontId="2" fillId="9" borderId="1" applyAlignment="1" pivotButton="0" quotePrefix="0" xfId="0">
      <alignment horizontal="center" vertical="top" wrapText="1"/>
    </xf>
    <xf numFmtId="0" fontId="2" fillId="10" borderId="1" applyAlignment="1" pivotButton="0" quotePrefix="0" xfId="0">
      <alignment vertical="top" wrapText="1"/>
    </xf>
    <xf numFmtId="0" fontId="2" fillId="9" borderId="1" applyAlignment="1" pivotButton="0" quotePrefix="0" xfId="0">
      <alignment vertical="top" wrapText="1"/>
    </xf>
    <xf numFmtId="0" fontId="2" fillId="16" borderId="1" applyAlignment="1" pivotButton="0" quotePrefix="0" xfId="0">
      <alignment vertical="top" wrapText="1"/>
    </xf>
    <xf numFmtId="0" fontId="2" fillId="16" borderId="1" applyAlignment="1" pivotButton="0" quotePrefix="0" xfId="0">
      <alignment horizontal="center" vertical="top" wrapText="1"/>
    </xf>
    <xf numFmtId="0" fontId="2" fillId="9" borderId="1" applyAlignment="1" pivotButton="0" quotePrefix="0" xfId="0">
      <alignment horizontal="center" vertical="top" wrapText="1"/>
    </xf>
    <xf numFmtId="3" fontId="2" fillId="9" borderId="1" applyAlignment="1" pivotButton="0" quotePrefix="0" xfId="0">
      <alignment vertical="top" wrapText="1"/>
    </xf>
    <xf numFmtId="0" fontId="2" fillId="17" borderId="1" applyAlignment="1" pivotButton="0" quotePrefix="0" xfId="0">
      <alignment vertical="top" wrapText="1"/>
    </xf>
    <xf numFmtId="0" fontId="2" fillId="17" borderId="1" applyAlignment="1" pivotButton="0" quotePrefix="0" xfId="0">
      <alignment horizontal="center" vertical="top" wrapText="1"/>
    </xf>
    <xf numFmtId="164" fontId="2" fillId="9" borderId="1" applyAlignment="1" pivotButton="0" quotePrefix="0" xfId="0">
      <alignment horizontal="center" vertical="top" wrapText="1"/>
    </xf>
    <xf numFmtId="164" fontId="2" fillId="10" borderId="1" applyAlignment="1" pivotButton="0" quotePrefix="0" xfId="0">
      <alignment horizontal="center" vertical="top" wrapText="1"/>
    </xf>
    <xf numFmtId="0" fontId="16" fillId="18" borderId="1" applyAlignment="1" pivotButton="0" quotePrefix="0" xfId="0">
      <alignment horizontal="center" vertical="top" wrapText="1"/>
    </xf>
    <xf numFmtId="0" fontId="17" fillId="18" borderId="1" applyAlignment="1" pivotButton="0" quotePrefix="0" xfId="0">
      <alignment vertical="top" wrapText="1"/>
    </xf>
    <xf numFmtId="0" fontId="2" fillId="18" borderId="1" applyAlignment="1" pivotButton="0" quotePrefix="0" xfId="0">
      <alignment vertical="top" wrapText="1"/>
    </xf>
    <xf numFmtId="0" fontId="2" fillId="18" borderId="1" applyAlignment="1" pivotButton="0" quotePrefix="0" xfId="0">
      <alignment horizontal="center" vertical="top" wrapText="1"/>
    </xf>
    <xf numFmtId="0" fontId="2" fillId="19" borderId="1" applyAlignment="1" pivotButton="0" quotePrefix="0" xfId="0">
      <alignment vertical="top" wrapText="1"/>
    </xf>
    <xf numFmtId="0" fontId="2" fillId="19" borderId="1" applyAlignment="1" pivotButton="0" quotePrefix="0" xfId="0">
      <alignment horizontal="center" vertical="top" wrapText="1"/>
    </xf>
    <xf numFmtId="0" fontId="15" fillId="26" borderId="0" applyAlignment="1" pivotButton="0" quotePrefix="0" xfId="0">
      <alignment vertical="center"/>
    </xf>
    <xf numFmtId="0" fontId="0" fillId="26" borderId="0" pivotButton="0" quotePrefix="0" xfId="0"/>
    <xf numFmtId="0" fontId="6" fillId="26" borderId="1" applyAlignment="1" pivotButton="0" quotePrefix="0" xfId="0">
      <alignment horizontal="center" vertical="top" wrapText="1"/>
    </xf>
    <xf numFmtId="0" fontId="2" fillId="3" borderId="1" applyAlignment="1" pivotButton="0" quotePrefix="0" xfId="0">
      <alignment horizontal="center" vertical="top" wrapText="1"/>
    </xf>
    <xf numFmtId="0" fontId="2" fillId="27" borderId="1" applyAlignment="1" pivotButton="0" quotePrefix="0" xfId="0">
      <alignment horizontal="center" vertical="top" wrapText="1"/>
    </xf>
    <xf numFmtId="0" fontId="2" fillId="27" borderId="1" applyAlignment="1" pivotButton="0" quotePrefix="0" xfId="0">
      <alignment vertical="top" wrapText="1"/>
    </xf>
    <xf numFmtId="0" fontId="1" fillId="27" borderId="1" applyAlignment="1" pivotButton="0" quotePrefix="0" xfId="0">
      <alignment vertical="top" wrapText="1"/>
    </xf>
    <xf numFmtId="0" fontId="28" fillId="26" borderId="0" pivotButton="0" quotePrefix="0" xfId="0"/>
    <xf numFmtId="0" fontId="15" fillId="12" borderId="0" applyAlignment="1" pivotButton="0" quotePrefix="0" xfId="0">
      <alignment vertical="center"/>
    </xf>
    <xf numFmtId="0" fontId="0" fillId="12" borderId="0" pivotButton="0" quotePrefix="0" xfId="0"/>
    <xf numFmtId="0" fontId="1" fillId="0" borderId="0" pivotButton="0" quotePrefix="0" xfId="0"/>
    <xf numFmtId="0" fontId="1" fillId="40" borderId="1" applyAlignment="1" pivotButton="0" quotePrefix="0" xfId="0">
      <alignment horizontal="center" vertical="top" wrapText="1"/>
    </xf>
    <xf numFmtId="0" fontId="2" fillId="40" borderId="1" applyAlignment="1" pivotButton="0" quotePrefix="0" xfId="0">
      <alignment vertical="top" wrapText="1"/>
    </xf>
    <xf numFmtId="0" fontId="2" fillId="30" borderId="1" applyAlignment="1" pivotButton="0" quotePrefix="0" xfId="0">
      <alignment vertical="top" wrapText="1"/>
    </xf>
    <xf numFmtId="0" fontId="1" fillId="16" borderId="1" applyAlignment="1" pivotButton="0" quotePrefix="0" xfId="0">
      <alignment horizontal="center" vertical="top" wrapText="1"/>
    </xf>
    <xf numFmtId="0" fontId="1" fillId="4" borderId="1" applyAlignment="1" pivotButton="0" quotePrefix="0" xfId="0">
      <alignment horizontal="center" vertical="top" wrapText="1"/>
    </xf>
    <xf numFmtId="0" fontId="2" fillId="4" borderId="1" applyAlignment="1" pivotButton="0" quotePrefix="0" xfId="0">
      <alignment vertical="top" wrapText="1"/>
    </xf>
    <xf numFmtId="0" fontId="1" fillId="41" borderId="1" applyAlignment="1" pivotButton="0" quotePrefix="0" xfId="0">
      <alignment horizontal="center" vertical="top" wrapText="1"/>
    </xf>
    <xf numFmtId="0" fontId="2" fillId="41" borderId="1" applyAlignment="1" pivotButton="0" quotePrefix="0" xfId="0">
      <alignment vertical="top" wrapText="1"/>
    </xf>
    <xf numFmtId="0" fontId="1" fillId="9" borderId="1" applyAlignment="1" pivotButton="0" quotePrefix="0" xfId="0">
      <alignment horizontal="center" vertical="top" wrapText="1"/>
    </xf>
    <xf numFmtId="0" fontId="15" fillId="15" borderId="0" applyAlignment="1" pivotButton="0" quotePrefix="0" xfId="0">
      <alignment vertical="center"/>
    </xf>
    <xf numFmtId="0" fontId="0" fillId="15" borderId="0" pivotButton="0" quotePrefix="0" xfId="0"/>
    <xf numFmtId="0" fontId="28" fillId="15" borderId="0" pivotButton="0" quotePrefix="0" xfId="0"/>
    <xf numFmtId="0" fontId="2" fillId="29" borderId="1" applyAlignment="1" pivotButton="0" quotePrefix="0" xfId="0">
      <alignment vertical="top" wrapText="1"/>
    </xf>
    <xf numFmtId="0" fontId="15" fillId="13" borderId="0" applyAlignment="1" pivotButton="0" quotePrefix="0" xfId="0">
      <alignment vertical="center"/>
    </xf>
    <xf numFmtId="0" fontId="0" fillId="13" borderId="0" pivotButton="0" quotePrefix="0" xfId="0"/>
    <xf numFmtId="0" fontId="18" fillId="0" borderId="0" pivotButton="0" quotePrefix="0" xfId="0"/>
    <xf numFmtId="0" fontId="2" fillId="28" borderId="1" applyAlignment="1" pivotButton="0" quotePrefix="0" xfId="0">
      <alignment horizontal="center" vertical="top" wrapText="1"/>
    </xf>
    <xf numFmtId="0" fontId="2" fillId="5" borderId="1" applyAlignment="1" pivotButton="0" quotePrefix="0" xfId="0">
      <alignment vertical="top" wrapText="1"/>
    </xf>
    <xf numFmtId="0" fontId="2" fillId="6" borderId="1" applyAlignment="1" pivotButton="0" quotePrefix="0" xfId="0">
      <alignment vertical="top" wrapText="1"/>
    </xf>
    <xf numFmtId="0" fontId="2" fillId="8" borderId="1" applyAlignment="1" pivotButton="0" quotePrefix="0" xfId="0">
      <alignment vertical="top" wrapText="1"/>
    </xf>
    <xf numFmtId="0" fontId="2" fillId="28" borderId="1" applyAlignment="1" pivotButton="0" quotePrefix="0" xfId="0">
      <alignment vertical="top" wrapText="1"/>
    </xf>
    <xf numFmtId="0" fontId="2" fillId="4" borderId="1" applyAlignment="1" pivotButton="0" quotePrefix="0" xfId="0">
      <alignment horizontal="center" vertical="top" wrapText="1"/>
    </xf>
    <xf numFmtId="0" fontId="4" fillId="0" borderId="0" applyAlignment="1" pivotButton="0" quotePrefix="0" xfId="0">
      <alignment vertical="top" wrapText="1"/>
    </xf>
    <xf numFmtId="0" fontId="1" fillId="28" borderId="1" applyAlignment="1" pivotButton="0" quotePrefix="0" xfId="0">
      <alignment vertical="top" wrapText="1"/>
    </xf>
    <xf numFmtId="0" fontId="0" fillId="0" borderId="4" pivotButton="0" quotePrefix="0" xfId="0"/>
    <xf numFmtId="0" fontId="0" fillId="0" borderId="5" pivotButton="0" quotePrefix="0" xfId="0"/>
    <xf numFmtId="49" fontId="2" fillId="3" borderId="1" applyAlignment="1" pivotButton="0" quotePrefix="0" xfId="0">
      <alignment vertical="top" wrapText="1"/>
    </xf>
    <xf numFmtId="0" fontId="2" fillId="31" borderId="1" applyAlignment="1" pivotButton="0" quotePrefix="0" xfId="0">
      <alignment vertical="top" wrapText="1"/>
    </xf>
    <xf numFmtId="49" fontId="2" fillId="31" borderId="1" applyAlignment="1" pivotButton="0" quotePrefix="0" xfId="0">
      <alignment vertical="top" wrapText="1"/>
    </xf>
    <xf numFmtId="0" fontId="15" fillId="22" borderId="0" applyAlignment="1" pivotButton="0" quotePrefix="0" xfId="0">
      <alignment vertical="center"/>
    </xf>
    <xf numFmtId="0" fontId="0" fillId="22" borderId="0" pivotButton="0" quotePrefix="0" xfId="0"/>
    <xf numFmtId="0" fontId="6" fillId="22" borderId="1" applyAlignment="1" pivotButton="0" quotePrefix="0" xfId="0">
      <alignment horizontal="center" vertical="top" wrapText="1"/>
    </xf>
    <xf numFmtId="0" fontId="2" fillId="32" borderId="1" applyAlignment="1" pivotButton="0" quotePrefix="0" xfId="0">
      <alignment vertical="top" wrapText="1"/>
    </xf>
    <xf numFmtId="0" fontId="15" fillId="38" borderId="0" applyAlignment="1" pivotButton="0" quotePrefix="0" xfId="0">
      <alignment vertical="center"/>
    </xf>
    <xf numFmtId="0" fontId="0" fillId="38" borderId="0" pivotButton="0" quotePrefix="0" xfId="0"/>
    <xf numFmtId="0" fontId="9" fillId="11" borderId="1" applyAlignment="1" pivotButton="0" quotePrefix="0" xfId="0">
      <alignment horizontal="center" vertical="top" wrapText="1"/>
    </xf>
    <xf numFmtId="0" fontId="9" fillId="20" borderId="1" applyAlignment="1" pivotButton="0" quotePrefix="0" xfId="0">
      <alignment horizontal="center" vertical="top" wrapText="1"/>
    </xf>
    <xf numFmtId="0" fontId="9" fillId="21" borderId="1" applyAlignment="1" pivotButton="0" quotePrefix="0" xfId="0">
      <alignment horizontal="center" vertical="top" wrapText="1"/>
    </xf>
    <xf numFmtId="0" fontId="9" fillId="22" borderId="1" applyAlignment="1" pivotButton="0" quotePrefix="0" xfId="0">
      <alignment horizontal="center" vertical="top" wrapText="1"/>
    </xf>
    <xf numFmtId="0" fontId="9" fillId="12" borderId="1" applyAlignment="1" pivotButton="0" quotePrefix="0" xfId="0">
      <alignment horizontal="center" vertical="top" wrapText="1"/>
    </xf>
    <xf numFmtId="0" fontId="9" fillId="23" borderId="1" applyAlignment="1" pivotButton="0" quotePrefix="0" xfId="0">
      <alignment horizontal="center" vertical="top" wrapText="1"/>
    </xf>
    <xf numFmtId="0" fontId="9" fillId="13" borderId="1" applyAlignment="1" pivotButton="0" quotePrefix="0" xfId="0">
      <alignment horizontal="center" vertical="top" wrapText="1"/>
    </xf>
    <xf numFmtId="0" fontId="6" fillId="38" borderId="1" applyAlignment="1" pivotButton="0" quotePrefix="0" xfId="0">
      <alignment horizontal="center" vertical="top" wrapText="1"/>
    </xf>
    <xf numFmtId="0" fontId="6" fillId="20" borderId="1" applyAlignment="1" pivotButton="0" quotePrefix="0" xfId="0">
      <alignment horizontal="center" vertical="top" wrapText="1"/>
    </xf>
    <xf numFmtId="0" fontId="6" fillId="21" borderId="1" applyAlignment="1" pivotButton="0" quotePrefix="0" xfId="0">
      <alignment horizontal="center" vertical="top" wrapText="1"/>
    </xf>
    <xf numFmtId="0" fontId="6" fillId="23" borderId="1" applyAlignment="1" pivotButton="0" quotePrefix="0" xfId="0">
      <alignment horizontal="center" vertical="top" wrapText="1"/>
    </xf>
    <xf numFmtId="0" fontId="2" fillId="0" borderId="1" applyAlignment="1" pivotButton="0" quotePrefix="0" xfId="0">
      <alignment vertical="top" wrapText="1"/>
    </xf>
    <xf numFmtId="0" fontId="15" fillId="21" borderId="0" applyAlignment="1" pivotButton="0" quotePrefix="0" xfId="0">
      <alignment vertical="center"/>
    </xf>
    <xf numFmtId="0" fontId="0" fillId="21" borderId="0" pivotButton="0" quotePrefix="0" xfId="0"/>
    <xf numFmtId="0" fontId="2" fillId="36" borderId="1" applyAlignment="1" pivotButton="0" quotePrefix="0" xfId="0">
      <alignment vertical="top" wrapText="1"/>
    </xf>
    <xf numFmtId="0" fontId="15" fillId="37" borderId="0" applyAlignment="1" pivotButton="0" quotePrefix="0" xfId="0">
      <alignment vertical="center"/>
    </xf>
    <xf numFmtId="0" fontId="0" fillId="37" borderId="0" pivotButton="0" quotePrefix="0" xfId="0"/>
    <xf numFmtId="0" fontId="6" fillId="37" borderId="1" applyAlignment="1" pivotButton="0" quotePrefix="0" xfId="0">
      <alignment horizontal="center" vertical="top" wrapText="1"/>
    </xf>
    <xf numFmtId="0" fontId="15" fillId="33" borderId="0" applyAlignment="1" pivotButton="0" quotePrefix="0" xfId="0">
      <alignment vertical="center"/>
    </xf>
    <xf numFmtId="0" fontId="0" fillId="33" borderId="0" pivotButton="0" quotePrefix="0" xfId="0"/>
    <xf numFmtId="0" fontId="6" fillId="33" borderId="1" applyAlignment="1" pivotButton="0" quotePrefix="0" xfId="0">
      <alignment horizontal="center" vertical="top" wrapText="1"/>
    </xf>
    <xf numFmtId="0" fontId="2" fillId="34" borderId="1" applyAlignment="1" pivotButton="0" quotePrefix="0" xfId="0">
      <alignment vertical="top" wrapText="1"/>
    </xf>
    <xf numFmtId="0" fontId="15" fillId="20" borderId="0" applyAlignment="1" pivotButton="0" quotePrefix="0" xfId="0">
      <alignment vertical="center"/>
    </xf>
    <xf numFmtId="0" fontId="0" fillId="20" borderId="0" pivotButton="0" quotePrefix="0" xfId="0"/>
    <xf numFmtId="0" fontId="2" fillId="35" borderId="1" applyAlignment="1" pivotButton="0" quotePrefix="0" xfId="0">
      <alignment vertical="top" wrapText="1"/>
    </xf>
    <xf numFmtId="49" fontId="2" fillId="0" borderId="0" pivotButton="0" quotePrefix="0" xfId="0"/>
    <xf numFmtId="0" fontId="2" fillId="0" borderId="0" pivotButton="0" quotePrefix="0" xfId="0"/>
  </cellXfs>
  <cellStyles count="1">
    <cellStyle name="Normal" xfId="0" builtinId="0" hidden="0"/>
  </cellStyles>
  <dxfs count="28">
    <dxf>
      <fill>
        <patternFill patternType="solid">
          <fgColor rgb="00FF7C80"/>
        </patternFill>
      </fill>
    </dxf>
    <dxf>
      <fill>
        <patternFill patternType="solid">
          <fgColor rgb="00F8CBAD"/>
        </patternFill>
      </fill>
    </dxf>
    <dxf>
      <fill>
        <patternFill patternType="solid">
          <fgColor rgb="00FFEB9C"/>
        </patternFill>
      </fill>
    </dxf>
    <dxf>
      <fill>
        <patternFill patternType="solid">
          <fgColor rgb="00C6EFCE"/>
        </patternFill>
      </fill>
    </dxf>
    <dxf>
      <font>
        <name val="Arial"/>
        <b val="1"/>
        <color rgb="00C00000"/>
      </font>
    </dxf>
    <dxf>
      <font>
        <name val="Arial"/>
        <b val="1"/>
      </font>
      <fill>
        <patternFill patternType="solid">
          <fgColor rgb="00C6EFCE"/>
        </patternFill>
      </fill>
    </dxf>
    <dxf>
      <font>
        <name val="Arial"/>
        <b val="1"/>
      </font>
      <fill>
        <patternFill patternType="solid">
          <fgColor rgb="00FFEB9C"/>
        </patternFill>
      </fill>
    </dxf>
    <dxf>
      <font>
        <name val="Arial"/>
        <b val="1"/>
      </font>
      <fill>
        <patternFill patternType="solid">
          <fgColor rgb="00F8CBAD"/>
        </patternFill>
      </fill>
    </dxf>
    <dxf>
      <font>
        <name val="Arial"/>
        <b val="1"/>
      </font>
      <fill>
        <patternFill patternType="solid">
          <fgColor rgb="00FF7C80"/>
        </patternFill>
      </fill>
    </dxf>
    <dxf>
      <fill>
        <patternFill patternType="solid">
          <fgColor rgb="00E2EFDA"/>
        </patternFill>
      </fill>
    </dxf>
    <dxf>
      <font>
        <name val="Arial"/>
        <b val="1"/>
      </font>
      <fill>
        <patternFill patternType="solid">
          <fgColor rgb="00BDD7EE"/>
        </patternFill>
      </fill>
    </dxf>
    <dxf>
      <fill>
        <patternFill patternType="solid">
          <fgColor rgb="00D9D9D9"/>
        </patternFill>
      </fill>
    </dxf>
    <dxf>
      <fill>
        <patternFill patternType="solid">
          <fgColor rgb="00FCE4D6"/>
        </patternFill>
      </fill>
    </dxf>
    <dxf>
      <font>
        <name val="Arial"/>
        <b val="1"/>
      </font>
      <fill>
        <patternFill patternType="solid">
          <fgColor rgb="00FF9999"/>
        </patternFill>
      </fill>
    </dxf>
    <dxf>
      <font>
        <name val="Arial"/>
        <b val="1"/>
      </font>
      <fill>
        <patternFill patternType="solid">
          <fgColor rgb="00FFD966"/>
        </patternFill>
      </fill>
    </dxf>
    <dxf>
      <font>
        <name val="Arial"/>
        <b val="1"/>
      </font>
      <fill>
        <patternFill patternType="solid">
          <fgColor rgb="00C6E0B4"/>
        </patternFill>
      </fill>
    </dxf>
    <dxf>
      <font>
        <name val="Arial"/>
        <b val="1"/>
      </font>
      <fill>
        <patternFill patternType="solid">
          <fgColor rgb="00D9C3E9"/>
        </patternFill>
      </fill>
    </dxf>
    <dxf>
      <font>
        <name val="Arial"/>
        <b val="1"/>
      </font>
      <fill>
        <patternFill patternType="solid">
          <fgColor rgb="0092D050"/>
        </patternFill>
      </fill>
    </dxf>
    <dxf>
      <font>
        <name val="Arial"/>
        <b val="1"/>
      </font>
      <fill>
        <patternFill patternType="solid">
          <fgColor rgb="00B4C7E7"/>
        </patternFill>
      </fill>
    </dxf>
    <dxf>
      <font>
        <name val="Arial"/>
        <b val="1"/>
      </font>
      <fill>
        <patternFill patternType="solid">
          <fgColor rgb="00C9E2B3"/>
        </patternFill>
      </fill>
    </dxf>
    <dxf>
      <font>
        <name val="Arial"/>
        <b val="1"/>
      </font>
      <fill>
        <patternFill patternType="solid">
          <fgColor rgb="00F4B183"/>
        </patternFill>
      </fill>
    </dxf>
    <dxf>
      <font>
        <name val="Arial"/>
        <b val="1"/>
      </font>
      <fill>
        <patternFill patternType="solid">
          <fgColor rgb="00FFE699"/>
        </patternFill>
      </fill>
    </dxf>
    <dxf>
      <font>
        <name val="Arial"/>
        <b val="1"/>
      </font>
      <fill>
        <patternFill patternType="solid">
          <fgColor rgb="00D5A6E6"/>
        </patternFill>
      </fill>
    </dxf>
    <dxf>
      <font>
        <name val="Arial"/>
        <b val="1"/>
      </font>
      <fill>
        <patternFill patternType="solid">
          <fgColor rgb="009DC3E6"/>
        </patternFill>
      </fill>
    </dxf>
    <dxf>
      <font>
        <name val="Arial"/>
        <b val="1"/>
      </font>
      <fill>
        <patternFill patternType="solid">
          <fgColor rgb="00C5E0B4"/>
        </patternFill>
      </fill>
    </dxf>
    <dxf>
      <font>
        <name val="Arial"/>
        <b val="1"/>
      </font>
      <fill>
        <patternFill patternType="solid">
          <fgColor rgb="00B7DEE8"/>
        </patternFill>
      </fill>
    </dxf>
    <dxf>
      <font>
        <name val="Arial"/>
        <b val="1"/>
      </font>
      <fill>
        <patternFill patternType="solid">
          <fgColor rgb="00D9D2E9"/>
        </patternFill>
      </fill>
    </dxf>
    <dxf>
      <font>
        <name val="Arial"/>
        <color rgb="00A6A6A6"/>
      </font>
      <fill>
        <patternFill patternType="solid">
          <fgColor rgb="00F2F2F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comments/comment1.xml><?xml version="1.0" encoding="utf-8"?>
<comments xmlns="http://schemas.openxmlformats.org/spreadsheetml/2006/main">
  <authors>
    <author>Workbook</author>
  </authors>
  <commentList>
    <comment ref="N4" authorId="0" shapeId="0">
      <text>
        <t>Reads the Triage sheet. "Applies" when any listed question is answered Yes.</t>
      </text>
    </comment>
    <comment ref="AR4" authorId="0" shapeId="0">
      <text>
        <t>From Risk, Control and Test Traceability: test cases under the mapped controls. A test case linked to two controls may be counted twice.</t>
      </text>
    </comment>
    <comment ref="AW4" authorId="0" shapeId="0">
      <text>
        <t>Target rating if set, otherwise current rating.</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reativecommons.org/licenses/by-sa/4.0/" TargetMode="External" Id="rId1"/><Relationship Type="http://schemas.openxmlformats.org/officeDocument/2006/relationships/hyperlink" Target="https://creativecommons.org/licenses/by-sa/4.0/legalcode.en" TargetMode="External" Id="rId2"/><Relationship Type="http://schemas.openxmlformats.org/officeDocument/2006/relationships/hyperlink" Target="https://nachi065.github.io/AI-Security-Wiki/" TargetMode="External" Id="rId3"/><Relationship Type="http://schemas.openxmlformats.org/officeDocument/2006/relationships/hyperlink" Target="https://github.com/nachi065/AI-Security-Wiki" TargetMode="External" Id="rId4"/></Relationships>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C00000"/>
    <outlinePr summaryBelow="1" summaryRight="1"/>
    <pageSetUpPr/>
  </sheetPr>
  <dimension ref="A1:H66"/>
  <sheetViews>
    <sheetView showGridLines="0" workbookViewId="0">
      <selection activeCell="A1" sqref="A1"/>
    </sheetView>
  </sheetViews>
  <sheetFormatPr baseColWidth="8" defaultRowHeight="15"/>
  <cols>
    <col width="34" customWidth="1" min="1" max="1"/>
    <col width="110" customWidth="1" min="2" max="2"/>
  </cols>
  <sheetData>
    <row r="1" ht="30" customHeight="1">
      <c r="A1" s="1" t="inlineStr">
        <is>
          <t>AI Risk Register Workbook</t>
        </is>
      </c>
      <c r="B1" s="2" t="n"/>
      <c r="C1" s="2" t="n"/>
      <c r="D1" s="2" t="n"/>
      <c r="E1" s="2" t="n"/>
      <c r="F1" s="2" t="n"/>
      <c r="G1" s="2" t="n"/>
      <c r="H1" s="2" t="n"/>
    </row>
    <row r="2">
      <c r="A2" s="3" t="inlineStr">
        <is>
          <t>Built from the AI Security Wiki (https://nachi065.github.io/AI-Security-Wiki/) on 29 October 2026. Version 1.6.</t>
        </is>
      </c>
    </row>
    <row r="3"/>
    <row r="4">
      <c r="A4" s="4" t="inlineStr">
        <is>
          <t>Read first</t>
        </is>
      </c>
      <c r="B4" s="2" t="n"/>
      <c r="C4" s="2" t="n"/>
      <c r="D4" s="2" t="n"/>
      <c r="E4" s="2" t="n"/>
      <c r="F4" s="2" t="n"/>
      <c r="G4" s="2" t="n"/>
      <c r="H4" s="2" t="n"/>
    </row>
    <row r="5">
      <c r="A5" s="5" t="inlineStr">
        <is>
          <t>Illustrative ratings</t>
        </is>
      </c>
      <c r="B5" s="6" t="inlineStr">
        <is>
          <t>Every likelihood and impact on the register is the wiki's generic example, not an assessment of any organization. Re-score each row for your environment before relying on it.</t>
        </is>
      </c>
    </row>
    <row r="6">
      <c r="A6" s="7" t="inlineStr">
        <is>
          <t>Defaults to approve</t>
        </is>
      </c>
      <c r="B6" s="8" t="inlineStr">
        <is>
          <t>Orange cells on Settings (likelihood wording, band boundaries, deadlines, review intervals, acceptance authority, appetite) are workbook defaults, not taken from a standard. The wiki says the governing body approves the risk criteria.</t>
        </is>
      </c>
    </row>
    <row r="7">
      <c r="A7" s="5" t="inlineStr">
        <is>
          <t>Not legal advice</t>
        </is>
      </c>
      <c r="B7" s="6" t="inlineStr">
        <is>
          <t>Framework references are the wiki's mappings. Check the standards themselves before claiming conformance.</t>
        </is>
      </c>
    </row>
    <row r="8"/>
    <row r="9">
      <c r="A9" s="4" t="inlineStr">
        <is>
          <t>How to use</t>
        </is>
      </c>
      <c r="B9" s="2" t="n"/>
      <c r="C9" s="2" t="n"/>
      <c r="D9" s="2" t="n"/>
      <c r="E9" s="2" t="n"/>
      <c r="F9" s="2" t="n"/>
      <c r="G9" s="2" t="n"/>
      <c r="H9" s="2" t="n"/>
    </row>
    <row r="10">
      <c r="A10" s="7" t="inlineStr">
        <is>
          <t>1. Settings</t>
        </is>
      </c>
      <c r="B10" s="8" t="inlineStr">
        <is>
          <t>Agree the scales, bands, deadlines, appetite and acceptance authority. Everything else recalculates.</t>
        </is>
      </c>
    </row>
    <row r="11">
      <c r="A11" s="5" t="inlineStr">
        <is>
          <t>2. Triage</t>
        </is>
      </c>
      <c r="B11" s="6" t="inlineStr">
        <is>
          <t>For a specific use case, answer the Yes/No questions. The register's Triage Result shows which risks apply.</t>
        </is>
      </c>
    </row>
    <row r="12">
      <c r="A12" s="7" t="inlineStr">
        <is>
          <t>3. AI Risk Register</t>
        </is>
      </c>
      <c r="B12" s="8" t="inlineStr">
        <is>
          <t>For each applicable risk: write the scenario, record existing controls and coverage, re-score current likelihood and impact.</t>
        </is>
      </c>
    </row>
    <row r="13">
      <c r="A13" s="5" t="inlineStr">
        <is>
          <t>4. Treatment</t>
        </is>
      </c>
      <c r="B13" s="6" t="inlineStr">
        <is>
          <t>Choose Mitigate / Avoid / Transfer / Accept, use the mapped controls and evidence, and set the target likelihood and impact.</t>
        </is>
      </c>
    </row>
    <row r="14">
      <c r="A14" s="7" t="inlineStr">
        <is>
          <t>5. Track</t>
        </is>
      </c>
      <c r="B14" s="8" t="inlineStr">
        <is>
          <t>Assign owners and dates, keep Status current, and clear every "Record Check" message.</t>
        </is>
      </c>
    </row>
    <row r="15">
      <c r="A15" s="5" t="inlineStr">
        <is>
          <t>6. Dashboard</t>
        </is>
      </c>
      <c r="B15" s="6" t="inlineStr">
        <is>
          <t>Report counts, heat map, overdue items and risks to escalate.</t>
        </is>
      </c>
    </row>
    <row r="16">
      <c r="A16" s="7" t="inlineStr">
        <is>
          <t>New risks</t>
        </is>
      </c>
      <c r="B16" s="8" t="inlineStr">
        <is>
          <t>Use rows 60 to 150 of the register; formulas and dropdowns are already there. Use the Threat Library and Control Gaps sheets to find them.</t>
        </is>
      </c>
    </row>
    <row r="17"/>
    <row r="18">
      <c r="A18" s="4" t="inlineStr">
        <is>
          <t>Colour legend</t>
        </is>
      </c>
      <c r="B18" s="2" t="n"/>
      <c r="C18" s="2" t="n"/>
      <c r="D18" s="2" t="n"/>
      <c r="E18" s="2" t="n"/>
      <c r="F18" s="2" t="n"/>
      <c r="G18" s="2" t="n"/>
      <c r="H18" s="2" t="n"/>
    </row>
    <row r="19">
      <c r="A19" s="5" t="inlineStr">
        <is>
          <t>Yellow cells</t>
        </is>
      </c>
      <c r="B19" s="6" t="inlineStr">
        <is>
          <t>Enter or choose a value.</t>
        </is>
      </c>
    </row>
    <row r="20">
      <c r="A20" s="7" t="inlineStr">
        <is>
          <t>Grey cells</t>
        </is>
      </c>
      <c r="B20" s="8" t="inlineStr">
        <is>
          <t>Calculated. Do not overwrite.</t>
        </is>
      </c>
    </row>
    <row r="21">
      <c r="A21" s="5" t="inlineStr">
        <is>
          <t>White cells</t>
        </is>
      </c>
      <c r="B21" s="6" t="inlineStr">
        <is>
          <t>Copied from the wiki. Edit if your mapping differs.</t>
        </is>
      </c>
    </row>
    <row r="22">
      <c r="A22" s="7" t="inlineStr">
        <is>
          <t>Orange cells (Settings)</t>
        </is>
      </c>
      <c r="B22" s="8" t="inlineStr">
        <is>
          <t>Workbook defaults awaiting approval.</t>
        </is>
      </c>
    </row>
    <row r="23"/>
    <row r="24">
      <c r="A24" s="4" t="inlineStr">
        <is>
          <t>Sheets</t>
        </is>
      </c>
      <c r="B24" s="2" t="n"/>
      <c r="C24" s="2" t="n"/>
      <c r="D24" s="2" t="n"/>
      <c r="E24" s="2" t="n"/>
      <c r="F24" s="2" t="n"/>
      <c r="G24" s="2" t="n"/>
      <c r="H24" s="2" t="n"/>
    </row>
    <row r="25">
      <c r="A25" s="5" t="inlineStr">
        <is>
          <t>Dashboard</t>
        </is>
      </c>
      <c r="B25" s="6" t="inlineStr">
        <is>
          <t>Summary counts, heat map, by-domain and by-status views.</t>
        </is>
      </c>
    </row>
    <row r="26">
      <c r="A26" s="7" t="inlineStr">
        <is>
          <t>AI Risk Register</t>
        </is>
      </c>
      <c r="B26" s="8" t="inlineStr">
        <is>
          <t>The register: 55 pre-filled risks, 65 columns in five sections.</t>
        </is>
      </c>
    </row>
    <row r="27">
      <c r="A27" s="5" t="inlineStr">
        <is>
          <t>Guidelines</t>
        </is>
      </c>
      <c r="B27" s="6" t="inlineStr">
        <is>
          <t>What each column means, plus an illustrative worked example.</t>
        </is>
      </c>
    </row>
    <row r="28">
      <c r="A28" s="7" t="inlineStr">
        <is>
          <t>Triage</t>
        </is>
      </c>
      <c r="B28" s="8" t="inlineStr">
        <is>
          <t>Wiki use-case triage questions A1 to E12.</t>
        </is>
      </c>
    </row>
    <row r="29">
      <c r="A29" s="5" t="inlineStr">
        <is>
          <t>Methodology</t>
        </is>
      </c>
      <c r="B29" s="6" t="inlineStr">
        <is>
          <t>Rating method, treatment options, review triggers and ISO/IEC 23894 alignment, from the wiki.</t>
        </is>
      </c>
    </row>
    <row r="30">
      <c r="A30" s="7" t="inlineStr">
        <is>
          <t>Settings</t>
        </is>
      </c>
      <c r="B30" s="8" t="inlineStr">
        <is>
          <t>Scales, bands and risk criteria.</t>
        </is>
      </c>
    </row>
    <row r="31">
      <c r="A31" s="5" t="inlineStr">
        <is>
          <t>AI Risk Library</t>
        </is>
      </c>
      <c r="B31" s="6" t="inlineStr">
        <is>
          <t>Reference copy of the 55 wiki risks with example ratings and AI Risk Map, NIST AI 600-1 and OWASP MCP links.</t>
        </is>
      </c>
    </row>
    <row r="32">
      <c r="A32" s="7" t="inlineStr">
        <is>
          <t>Control Library</t>
        </is>
      </c>
      <c r="B32" s="8" t="inlineStr">
        <is>
          <t>The 46 wiki controls with objective, evidence, audit test, owner, frequency and framework references.</t>
        </is>
      </c>
    </row>
    <row r="33">
      <c r="A33" s="5" t="inlineStr">
        <is>
          <t>Control Gaps</t>
        </is>
      </c>
      <c r="B33" s="6" t="inlineStr">
        <is>
          <t>A weakness for each control (replaces the generic vulnerability list).</t>
        </is>
      </c>
    </row>
    <row r="34">
      <c r="A34" s="7" t="inlineStr">
        <is>
          <t>Threat Library</t>
        </is>
      </c>
      <c r="B34" s="8" t="inlineStr">
        <is>
          <t>97 threats and techniques from OWASP LLM 2025, OWASP Agentic, OWASP MCP, MITRE ATLAS and NIST AI 600-1, linked to register risks.</t>
        </is>
      </c>
    </row>
    <row r="35">
      <c r="A35" s="5" t="inlineStr">
        <is>
          <t>Framework Crosswalk</t>
        </is>
      </c>
      <c r="B35" s="6" t="inlineStr">
        <is>
          <t>Every item of the 19 wiki framework crosswalks (FINOS, AI Risk Map, NIST AI RMF, AI 600-1, AI 100-2, AI BCF, OWASP LLM, Agentic and MCP, MITRE ATLAS, ISO/IEC 42001, 27001 and nine other ISO/IEC AI standards, NIST CSF, CIS, SOC 2, OECD, EU Ethics Guidelines, UNESCO, IEEE 7000-series, Council of Europe Convention, G7 Code, privacy laws), with wiki controls and register risks.</t>
        </is>
      </c>
    </row>
    <row r="36">
      <c r="A36" s="7" t="inlineStr">
        <is>
          <t>Regulatory Crosswalk</t>
        </is>
      </c>
      <c r="B36" s="8" t="inlineStr">
        <is>
          <t>AI laws and guidance from the 13 regional pages (GCC, EU, UK, US, Australia, Brazil, Canada, China, Hong Kong incl. HKMA, India, Japan, Singapore incl. MAS, South Korea), with the wiki's verification tags.</t>
        </is>
      </c>
    </row>
    <row r="37">
      <c r="A37" s="5" t="inlineStr">
        <is>
          <t>Framework Matrix</t>
        </is>
      </c>
      <c r="B37" s="6" t="inlineStr">
        <is>
          <t>The 55 risks against all frameworks in one grid.</t>
        </is>
      </c>
    </row>
    <row r="38">
      <c r="A38" s="7" t="inlineStr">
        <is>
          <t>Lists</t>
        </is>
      </c>
      <c r="B38" s="8" t="inlineStr">
        <is>
          <t>Dropdown values. Edit to match your organization.</t>
        </is>
      </c>
    </row>
    <row r="39">
      <c r="A39" s="5" t="inlineStr">
        <is>
          <t>License</t>
        </is>
      </c>
      <c r="B39" s="6" t="inlineStr">
        <is>
          <t>Copyright, CC BY-SA 4.0 notice, how to credit, ShareAlike, disclaimer and third-party material.</t>
        </is>
      </c>
    </row>
    <row r="40"/>
    <row r="41">
      <c r="A41" s="4" t="inlineStr">
        <is>
          <t>Changes from the source template (Risk Register - Risk Transfer.xlsx)</t>
        </is>
      </c>
      <c r="B41" s="2" t="n"/>
      <c r="C41" s="2" t="n"/>
      <c r="D41" s="2" t="n"/>
      <c r="E41" s="2" t="n"/>
      <c r="F41" s="2" t="n"/>
      <c r="G41" s="2" t="n"/>
      <c r="H41" s="2" t="n"/>
    </row>
    <row r="42">
      <c r="A42" s="7" t="inlineStr">
        <is>
          <t>Scoring</t>
        </is>
      </c>
      <c r="B42" s="8" t="inlineStr">
        <is>
          <t>CIA x exposure x likelihood replaced by likelihood x impact on 1-4 scales, so non-security AI risks can be rated. Bands cover every possible score with no gaps.</t>
        </is>
      </c>
    </row>
    <row r="43">
      <c r="A43" s="5" t="inlineStr">
        <is>
          <t>Exposure factor bug</t>
        </is>
      </c>
      <c r="B43" s="6" t="inlineStr">
        <is>
          <t>The source multiplied a text value ("Low") in its risk formula; here every score input is a 1-4 dropdown.</t>
        </is>
      </c>
    </row>
    <row r="44">
      <c r="A44" s="7" t="inlineStr">
        <is>
          <t>Band mismatch</t>
        </is>
      </c>
      <c r="B44" s="8" t="inlineStr">
        <is>
          <t>The source formula and its methodology table disagreed on where High starts; here the formula reads the band table directly.</t>
        </is>
      </c>
    </row>
    <row r="45">
      <c r="A45" s="5" t="inlineStr">
        <is>
          <t>Treatment consistency</t>
        </is>
      </c>
      <c r="B45" s="6" t="inlineStr">
        <is>
          <t>The Record Check column flags mismatches such as Accept without an expiry, Closed while outside appetite, or Transfer without contract evidence.</t>
        </is>
      </c>
    </row>
    <row r="46">
      <c r="A46" s="7" t="inlineStr">
        <is>
          <t>Threats and vulnerabilities</t>
        </is>
      </c>
      <c r="B46" s="8" t="inlineStr">
        <is>
          <t>Generic ISMS lists replaced by an AI threat library and a control-gap library.</t>
        </is>
      </c>
    </row>
    <row r="47">
      <c r="A47" s="5" t="inlineStr">
        <is>
          <t>Controls and frameworks</t>
        </is>
      </c>
      <c r="B47" s="6" t="inlineStr">
        <is>
          <t>ISO/IEC 27001:2013 Annex A replaced by the wiki control library and every wiki crosswalk: framework, standard, ethics, international and regional regulatory.</t>
        </is>
      </c>
    </row>
    <row r="48">
      <c r="A48" s="7" t="inlineStr">
        <is>
          <t>Added</t>
        </is>
      </c>
      <c r="B48" s="8" t="inlineStr">
        <is>
          <t>Owner domain, AI channel and asset type, scenario field, triage, evidence required, framework references, test case counts, appetite check, acceptance authority, review dates, escalation and consultation record.</t>
        </is>
      </c>
    </row>
    <row r="49">
      <c r="A49" s="5" t="inlineStr">
        <is>
          <t>Removed</t>
        </is>
      </c>
      <c r="B49" s="6" t="inlineStr">
        <is>
          <t>Client names and IP addresses from the source sample rows.</t>
        </is>
      </c>
    </row>
    <row r="50"/>
    <row r="51">
      <c r="A51" s="4" t="inlineStr">
        <is>
          <t>Sources (AI Security Wiki pages)</t>
        </is>
      </c>
      <c r="B51" s="2" t="n"/>
      <c r="C51" s="2" t="n"/>
      <c r="D51" s="2" t="n"/>
      <c r="E51" s="2" t="n"/>
      <c r="F51" s="2" t="n"/>
      <c r="G51" s="2" t="n"/>
      <c r="H51" s="2" t="n"/>
    </row>
    <row r="52">
      <c r="A52" s="7" t="inlineStr">
        <is>
          <t>Enterprise AI Risk Register</t>
        </is>
      </c>
      <c r="B52" s="8" t="inlineStr">
        <is>
          <t>https://nachi065.github.io/AI-Security-Wiki/02_Risk_Management/02B_Enterprise_AI_Risk_Register.html</t>
        </is>
      </c>
    </row>
    <row r="53">
      <c r="A53" s="5" t="inlineStr">
        <is>
          <t>AI Risk Methodology</t>
        </is>
      </c>
      <c r="B53" s="6" t="inlineStr">
        <is>
          <t>https://nachi065.github.io/AI-Security-Wiki/02_Risk_Management/02A_AI_Risk_Methodology.html</t>
        </is>
      </c>
    </row>
    <row r="54">
      <c r="A54" s="7" t="inlineStr">
        <is>
          <t>AI Risk Treatment Plan</t>
        </is>
      </c>
      <c r="B54" s="8" t="inlineStr">
        <is>
          <t>https://nachi065.github.io/AI-Security-Wiki/02_Risk_Management/02C_AI_Risk_Treatment_Plan.html</t>
        </is>
      </c>
    </row>
    <row r="55">
      <c r="A55" s="5" t="inlineStr">
        <is>
          <t>AI Risk to Control Mapping</t>
        </is>
      </c>
      <c r="B55" s="6" t="inlineStr">
        <is>
          <t>https://nachi065.github.io/AI-Security-Wiki/02_Risk_Management/02D_AI_Risk_to_Control_Mapping.html</t>
        </is>
      </c>
    </row>
    <row r="56">
      <c r="A56" s="7" t="inlineStr">
        <is>
          <t>AI Use-Case Risk Triage</t>
        </is>
      </c>
      <c r="B56" s="8" t="inlineStr">
        <is>
          <t>https://nachi065.github.io/AI-Security-Wiki/02_Risk_Management/02F_AI_Use_Case_Risk_Triage.html</t>
        </is>
      </c>
    </row>
    <row r="57">
      <c r="A57" s="5" t="inlineStr">
        <is>
          <t>Risk, Control and Test Traceability</t>
        </is>
      </c>
      <c r="B57" s="6" t="inlineStr">
        <is>
          <t>https://nachi065.github.io/AI-Security-Wiki/02_Risk_Management/02G_Risk_Control_Test_Traceability.html</t>
        </is>
      </c>
    </row>
    <row r="58">
      <c r="A58" s="7" t="inlineStr">
        <is>
          <t>Control Objectives Library</t>
        </is>
      </c>
      <c r="B58" s="8" t="inlineStr">
        <is>
          <t>https://nachi065.github.io/AI-Security-Wiki/03_Control_Library/03_AI_Security_Control_Objectives_Library.html</t>
        </is>
      </c>
    </row>
    <row r="59">
      <c r="A59" s="5" t="inlineStr">
        <is>
          <t>Framework crosswalks</t>
        </is>
      </c>
      <c r="B59" s="6" t="inlineStr">
        <is>
          <t>https://nachi065.github.io/AI-Security-Wiki/23_Framework_Crosswalks/index.html</t>
        </is>
      </c>
    </row>
    <row r="60">
      <c r="A60" s="7" t="inlineStr">
        <is>
          <t>AI Governance Operating Model (roles)</t>
        </is>
      </c>
      <c r="B60" s="8" t="inlineStr">
        <is>
          <t>https://nachi065.github.io/AI-Security-Wiki/08_Governance/16_AI_Governance_Operating_Model.html</t>
        </is>
      </c>
    </row>
    <row r="61"/>
    <row r="62">
      <c r="A62" s="4" t="inlineStr">
        <is>
          <t>Licence and credit</t>
        </is>
      </c>
      <c r="B62" s="2" t="n"/>
      <c r="C62" s="2" t="n"/>
      <c r="D62" s="2" t="n"/>
      <c r="E62" s="2" t="n"/>
      <c r="F62" s="2" t="n"/>
      <c r="G62" s="2" t="n"/>
      <c r="H62" s="2" t="n"/>
    </row>
    <row r="63">
      <c r="A63" s="5" t="inlineStr">
        <is>
          <t>Licence</t>
        </is>
      </c>
      <c r="B63" s="6" t="inlineStr">
        <is>
          <t>Copyright (c) 2026 Nachiket Sathaye and Ankush Jain. Licensed under CC BY-SA 4.0 (https://creativecommons.org/licenses/by-sa/4.0/). See the License sheet for how to credit the work, the ShareAlike terms, the disclaimer and third-party material.</t>
        </is>
      </c>
    </row>
    <row r="64">
      <c r="A64" s="7" t="inlineStr">
        <is>
          <t>AI Risk Map</t>
        </is>
      </c>
      <c r="B64" s="8" t="inlineStr">
        <is>
          <t>Owner domains and risks AI-R29 to AI-R54 are adapted from the AI Risk Map v1.3 (2026) by Evan Wheeler (GitHub wheels344i-gte), https://github.com/wheels344i-gte/ai-risk-map and https://riskframework.org/, licensed under CC BY-SA 4.0.</t>
        </is>
      </c>
    </row>
    <row r="65"/>
    <row r="66" ht="28" customHeight="1">
      <c r="A66" s="9" t="inlineStr">
        <is>
          <t>AI Risk Register Workbook Copyright (c) 2026 Nachiket Sathaye and Ankush Jain. Licensed under CC BY-SA 4.0 (https://creativecommons.org/licenses/by-sa/4.0/). See the License sheet for credit, ShareAlike and third-party terms.</t>
        </is>
      </c>
    </row>
  </sheetData>
  <mergeCells count="1">
    <mergeCell ref="A66:B66"/>
  </mergeCells>
  <pageMargins left="0.75" right="0.75" top="1" bottom="1" header="0.5" footer="0.5"/>
</worksheet>
</file>

<file path=xl/worksheets/sheet2.xml><?xml version="1.0" encoding="utf-8"?>
<worksheet xmlns="http://schemas.openxmlformats.org/spreadsheetml/2006/main">
  <sheetPr>
    <tabColor rgb="003A3A3A"/>
    <outlinePr summaryBelow="1" summaryRight="1"/>
    <pageSetUpPr/>
  </sheetPr>
  <dimension ref="A1:H29"/>
  <sheetViews>
    <sheetView showGridLines="0" workbookViewId="0">
      <selection activeCell="A1" sqref="A1"/>
    </sheetView>
  </sheetViews>
  <sheetFormatPr baseColWidth="8" defaultRowHeight="15"/>
  <cols>
    <col width="30" customWidth="1" min="1" max="1"/>
    <col width="110" customWidth="1" min="2" max="2"/>
  </cols>
  <sheetData>
    <row r="1" ht="30" customHeight="1">
      <c r="A1" s="10" t="inlineStr">
        <is>
          <t>License</t>
        </is>
      </c>
      <c r="B1" s="11" t="n"/>
      <c r="C1" s="11" t="n"/>
      <c r="D1" s="11" t="n"/>
      <c r="E1" s="11" t="n"/>
      <c r="F1" s="11" t="n"/>
      <c r="G1" s="11" t="n"/>
      <c r="H1" s="11" t="n"/>
    </row>
    <row r="2">
      <c r="A2" s="3" t="inlineStr">
        <is>
          <t>AI Risk Register Workbook, version 1.6, 29 October 2026</t>
        </is>
      </c>
    </row>
    <row r="3"/>
    <row r="4">
      <c r="A4" s="12" t="inlineStr">
        <is>
          <t>License notice</t>
        </is>
      </c>
    </row>
    <row r="5">
      <c r="A5" s="5" t="inlineStr">
        <is>
          <t>Work</t>
        </is>
      </c>
      <c r="B5" s="6" t="inlineStr">
        <is>
          <t>AI Risk Register Workbook</t>
        </is>
      </c>
    </row>
    <row r="6">
      <c r="A6" s="5" t="inlineStr">
        <is>
          <t>Copyright</t>
        </is>
      </c>
      <c r="B6" s="6" t="inlineStr">
        <is>
          <t>Copyright (c) 2026 Nachiket Sathaye and Ankush Jain.</t>
        </is>
      </c>
    </row>
    <row r="7">
      <c r="A7" s="5" t="inlineStr">
        <is>
          <t>License</t>
        </is>
      </c>
      <c r="B7" s="6" t="inlineStr">
        <is>
          <t>This work, AI Risk Register Workbook, is licensed under the Creative Commons Attribution-ShareAlike 4.0 International License (CC BY-SA 4.0).</t>
        </is>
      </c>
    </row>
    <row r="8">
      <c r="A8" s="5" t="inlineStr">
        <is>
          <t>License summary (deed)</t>
        </is>
      </c>
      <c r="B8" s="13" t="inlineStr">
        <is>
          <t>https://creativecommons.org/licenses/by-sa/4.0/</t>
        </is>
      </c>
    </row>
    <row r="9">
      <c r="A9" s="5" t="inlineStr">
        <is>
          <t>Full legal code</t>
        </is>
      </c>
      <c r="B9" s="13" t="inlineStr">
        <is>
          <t>https://creativecommons.org/licenses/by-sa/4.0/legalcode.en</t>
        </is>
      </c>
    </row>
    <row r="10">
      <c r="A10" s="5" t="inlineStr">
        <is>
          <t>Source</t>
        </is>
      </c>
      <c r="B10" s="13" t="inlineStr">
        <is>
          <t>https://nachi065.github.io/AI-Security-Wiki/</t>
        </is>
      </c>
    </row>
    <row r="11">
      <c r="A11" s="5" t="inlineStr">
        <is>
          <t>Repository</t>
        </is>
      </c>
      <c r="B11" s="13" t="inlineStr">
        <is>
          <t>https://github.com/nachi065/AI-Security-Wiki</t>
        </is>
      </c>
    </row>
    <row r="12"/>
    <row r="13">
      <c r="A13" s="12" t="inlineStr">
        <is>
          <t>How to credit this work</t>
        </is>
      </c>
    </row>
    <row r="14">
      <c r="A14" s="5" t="inlineStr">
        <is>
          <t>Credit line</t>
        </is>
      </c>
      <c r="B14" s="6" t="inlineStr">
        <is>
          <t>"AI Risk Register Workbook" by Nachiket Sathaye and Ankush Jain, AI Security Wiki (https://nachi065.github.io/AI-Security-Wiki/), licensed under CC BY-SA 4.0 (https://creativecommons.org/licenses/by-sa/4.0/).</t>
        </is>
      </c>
    </row>
    <row r="15">
      <c r="A15" s="5" t="inlineStr">
        <is>
          <t>If you change it</t>
        </is>
      </c>
      <c r="B15" s="6" t="inlineStr">
        <is>
          <t>Say that you changed it and keep earlier change notes, for example: "Adapted from AI Risk Register Workbook by Nachiket Sathaye and Ankush Jain (https://nachi065.github.io/AI-Security-Wiki/), CC BY-SA 4.0. Changes: added our own ratings and owners."</t>
        </is>
      </c>
    </row>
    <row r="16">
      <c r="A16" s="5" t="inlineStr">
        <is>
          <t>Keep these notices</t>
        </is>
      </c>
      <c r="B16" s="6" t="inlineStr">
        <is>
          <t>Keep the copyright notice, this license notice, the disclaimer below and the third-party credits when you share the workbook or a copy of it.</t>
        </is>
      </c>
    </row>
    <row r="17"/>
    <row r="18">
      <c r="A18" s="12" t="inlineStr">
        <is>
          <t>ShareAlike</t>
        </is>
      </c>
    </row>
    <row r="19">
      <c r="A19" s="5" t="inlineStr">
        <is>
          <t>Adapted versions</t>
        </is>
      </c>
      <c r="B19" s="6" t="inlineStr">
        <is>
          <t>If you remix, transform or build on this workbook and share the result, you must license your contributions under CC BY-SA 4.0, a later version of CC BY-SA, or a BY-SA Compatible License listed by Creative Commons at https://creativecommons.org/compatiblelicenses.</t>
        </is>
      </c>
    </row>
    <row r="20">
      <c r="A20" s="5" t="inlineStr">
        <is>
          <t>No extra restrictions</t>
        </is>
      </c>
      <c r="B20" s="6" t="inlineStr">
        <is>
          <t>You may not add terms, or apply technical measures such as DRM, that stop others from doing what the license allows.</t>
        </is>
      </c>
    </row>
    <row r="21"/>
    <row r="22">
      <c r="A22" s="12" t="inlineStr">
        <is>
          <t>Disclaimer</t>
        </is>
      </c>
    </row>
    <row r="23">
      <c r="A23" s="5" t="inlineStr">
        <is>
          <t>As-is</t>
        </is>
      </c>
      <c r="B23" s="6" t="inlineStr">
        <is>
          <t>The workbook is offered as-is, without warranties of any kind, and the licensor is not liable for its use, as set out in Section 5 of the license. It is not legal, audit or professional advice. Its ratings are illustrative examples, and its framework mappings are the wiki's own and should be checked against each source.</t>
        </is>
      </c>
    </row>
    <row r="24"/>
    <row r="25">
      <c r="A25" s="12" t="inlineStr">
        <is>
          <t>Third-party material</t>
        </is>
      </c>
    </row>
    <row r="26">
      <c r="A26" s="5" t="inlineStr">
        <is>
          <t>AI Risk Map</t>
        </is>
      </c>
      <c r="B26" s="6" t="inlineStr">
        <is>
          <t>Owner domains and risks AI-R29 to AI-R54 are adapted from the AI Risk Map v1.3 (2026) by Evan Wheeler (GitHub wheels344i-gte), https://github.com/wheels344i-gte/ai-risk-map and https://riskframework.org/, licensed under CC BY-SA 4.0. Changes: the risk factors were paraphrased, combined into register entries, given controls and ratings, and mapped to the wiki.</t>
        </is>
      </c>
    </row>
    <row r="27">
      <c r="A27" s="5" t="inlineStr">
        <is>
          <t>Frameworks and standards</t>
        </is>
      </c>
      <c r="B27" s="6" t="inlineStr">
        <is>
          <t>Framework names, identifiers and short item titles (for example ISO/IEC, NIST, OWASP, MITRE ATLAS, CIS, AICPA SOC 2, FINOS, OECD, UNESCO, IEEE and laws and regulations) are cited for reference and mapping only. They belong to their owners and are not licensed by this notice. Read the original documents under their own terms.</t>
        </is>
      </c>
    </row>
    <row r="28">
      <c r="A28" s="5" t="inlineStr">
        <is>
          <t>Trademarks</t>
        </is>
      </c>
      <c r="B28" s="6" t="inlineStr">
        <is>
          <t>Names and marks of standards bodies and organizations belong to their owners. The license does not grant trademark rights (Section 2(b)(2)).</t>
        </is>
      </c>
    </row>
    <row r="29">
      <c r="A29" s="5" t="inlineStr">
        <is>
          <t>Other terms</t>
        </is>
      </c>
      <c r="B29" s="6" t="inlineStr">
        <is>
          <t>To use this workbook under terms other than CC BY-SA 4.0, contact the author through https://github.com/nachi065/AI-Security-Wiki.</t>
        </is>
      </c>
    </row>
  </sheetData>
  <hyperlinks>
    <hyperlink xmlns:r="http://schemas.openxmlformats.org/officeDocument/2006/relationships" ref="B8" r:id="rId1"/>
    <hyperlink xmlns:r="http://schemas.openxmlformats.org/officeDocument/2006/relationships" ref="B9" r:id="rId2"/>
    <hyperlink xmlns:r="http://schemas.openxmlformats.org/officeDocument/2006/relationships" ref="B10" r:id="rId3"/>
    <hyperlink xmlns:r="http://schemas.openxmlformats.org/officeDocument/2006/relationships" ref="B11" r:id="rId4"/>
  </hyperlinks>
  <pageMargins left="0.75" right="0.75" top="1" bottom="1" header="0.5" footer="0.5"/>
</worksheet>
</file>

<file path=xl/worksheets/sheet3.xml><?xml version="1.0" encoding="utf-8"?>
<worksheet xmlns="http://schemas.openxmlformats.org/spreadsheetml/2006/main">
  <sheetPr>
    <tabColor rgb="00548235"/>
    <outlinePr summaryBelow="1" summaryRight="1"/>
    <pageSetUpPr/>
  </sheetPr>
  <dimension ref="A1:I41"/>
  <sheetViews>
    <sheetView showGridLines="0" workbookViewId="0">
      <selection activeCell="A1" sqref="A1"/>
    </sheetView>
  </sheetViews>
  <sheetFormatPr baseColWidth="8" defaultRowHeight="15"/>
  <cols>
    <col width="34" customWidth="1" min="1" max="1"/>
    <col width="13" customWidth="1" min="2" max="2"/>
    <col width="13" customWidth="1" min="3" max="3"/>
    <col width="13" customWidth="1" min="4" max="4"/>
    <col width="13" customWidth="1" min="5" max="5"/>
    <col width="13" customWidth="1" min="6" max="6"/>
    <col width="4" customWidth="1" min="7" max="7"/>
    <col width="30" customWidth="1" min="8" max="8"/>
    <col width="10" customWidth="1" min="9" max="9"/>
  </cols>
  <sheetData>
    <row r="1" ht="30" customHeight="1">
      <c r="A1" s="14" t="inlineStr">
        <is>
          <t>AI Risk Dashboard</t>
        </is>
      </c>
      <c r="B1" s="15" t="n"/>
      <c r="C1" s="15" t="n"/>
      <c r="D1" s="15" t="n"/>
      <c r="E1" s="15" t="n"/>
      <c r="F1" s="15" t="n"/>
      <c r="G1" s="15" t="n"/>
      <c r="H1" s="15" t="n"/>
      <c r="I1" s="15" t="n"/>
    </row>
    <row r="2">
      <c r="A2" s="3" t="inlineStr">
        <is>
          <t>All figures are formulas over the AI Risk Register sheet.</t>
        </is>
      </c>
    </row>
    <row r="3"/>
    <row r="4">
      <c r="A4" s="16" t="inlineStr">
        <is>
          <t>Rating</t>
        </is>
      </c>
      <c r="B4" s="16" t="inlineStr">
        <is>
          <t>Current</t>
        </is>
      </c>
      <c r="C4" s="16" t="inlineStr">
        <is>
          <t>Target</t>
        </is>
      </c>
      <c r="D4" s="16" t="inlineStr">
        <is>
          <t>Residual used</t>
        </is>
      </c>
      <c r="H4" s="17" t="inlineStr">
        <is>
          <t>By status</t>
        </is>
      </c>
    </row>
    <row r="5">
      <c r="A5" s="18" t="inlineStr">
        <is>
          <t>Critical</t>
        </is>
      </c>
      <c r="B5" s="19">
        <f>COUNTIF('AI Risk Register'!$T$5:$T$150,"Critical")</f>
        <v/>
      </c>
      <c r="C5" s="19">
        <f>COUNTIF('AI Risk Register'!$AV$5:$AV$150,"Critical")</f>
        <v/>
      </c>
      <c r="D5" s="19">
        <f>COUNTIF('AI Risk Register'!$AW$5:$AW$150,"Critical")</f>
        <v/>
      </c>
      <c r="H5" s="20" t="inlineStr">
        <is>
          <t>Open</t>
        </is>
      </c>
      <c r="I5" s="21">
        <f>COUNTIF('AI Risk Register'!$BE$5:$BE$150,"Open")</f>
        <v/>
      </c>
    </row>
    <row r="6">
      <c r="A6" s="22" t="inlineStr">
        <is>
          <t>High</t>
        </is>
      </c>
      <c r="B6" s="19">
        <f>COUNTIF('AI Risk Register'!$T$5:$T$150,"High")</f>
        <v/>
      </c>
      <c r="C6" s="19">
        <f>COUNTIF('AI Risk Register'!$AV$5:$AV$150,"High")</f>
        <v/>
      </c>
      <c r="D6" s="19">
        <f>COUNTIF('AI Risk Register'!$AW$5:$AW$150,"High")</f>
        <v/>
      </c>
      <c r="H6" s="23" t="inlineStr">
        <is>
          <t>In progress</t>
        </is>
      </c>
      <c r="I6" s="21">
        <f>COUNTIF('AI Risk Register'!$BE$5:$BE$150,"In progress")</f>
        <v/>
      </c>
    </row>
    <row r="7">
      <c r="A7" s="24" t="inlineStr">
        <is>
          <t>Medium</t>
        </is>
      </c>
      <c r="B7" s="19">
        <f>COUNTIF('AI Risk Register'!$T$5:$T$150,"Medium")</f>
        <v/>
      </c>
      <c r="C7" s="19">
        <f>COUNTIF('AI Risk Register'!$AV$5:$AV$150,"Medium")</f>
        <v/>
      </c>
      <c r="D7" s="19">
        <f>COUNTIF('AI Risk Register'!$AW$5:$AW$150,"Medium")</f>
        <v/>
      </c>
      <c r="H7" s="25" t="inlineStr">
        <is>
          <t>Mitigated - verifying</t>
        </is>
      </c>
      <c r="I7" s="21">
        <f>COUNTIF('AI Risk Register'!$BE$5:$BE$150,"Mitigated - verifying")</f>
        <v/>
      </c>
    </row>
    <row r="8">
      <c r="A8" s="26" t="inlineStr">
        <is>
          <t>Low</t>
        </is>
      </c>
      <c r="B8" s="19">
        <f>COUNTIF('AI Risk Register'!$T$5:$T$150,"Low")</f>
        <v/>
      </c>
      <c r="C8" s="19">
        <f>COUNTIF('AI Risk Register'!$AV$5:$AV$150,"Low")</f>
        <v/>
      </c>
      <c r="D8" s="19">
        <f>COUNTIF('AI Risk Register'!$AW$5:$AW$150,"Low")</f>
        <v/>
      </c>
      <c r="H8" s="27" t="inlineStr">
        <is>
          <t>Transferred</t>
        </is>
      </c>
      <c r="I8" s="21">
        <f>COUNTIF('AI Risk Register'!$BE$5:$BE$150,"Transferred")</f>
        <v/>
      </c>
    </row>
    <row r="9">
      <c r="A9" s="28" t="inlineStr">
        <is>
          <t>Total risks in register</t>
        </is>
      </c>
      <c r="B9" s="29">
        <f>COUNTA('AI Risk Register'!$A$5:$A$150)</f>
        <v/>
      </c>
      <c r="H9" s="30" t="inlineStr">
        <is>
          <t>Accepted</t>
        </is>
      </c>
      <c r="I9" s="21">
        <f>COUNTIF('AI Risk Register'!$BE$5:$BE$150,"Accepted")</f>
        <v/>
      </c>
    </row>
    <row r="10">
      <c r="A10" s="31" t="inlineStr">
        <is>
          <t>Outside appetite (residual)</t>
        </is>
      </c>
      <c r="B10" s="32">
        <f>COUNTIF('AI Risk Register'!$AX$5:$AX$150,"No")</f>
        <v/>
      </c>
      <c r="H10" s="33" t="inlineStr">
        <is>
          <t>Closed</t>
        </is>
      </c>
      <c r="I10" s="21">
        <f>COUNTIF('AI Risk Register'!$BE$5:$BE$150,"Closed")</f>
        <v/>
      </c>
    </row>
    <row r="11">
      <c r="A11" s="34" t="inlineStr">
        <is>
          <t>Report to AI Governance Committee</t>
        </is>
      </c>
      <c r="B11" s="35">
        <f>COUNTIF('AI Risk Register'!$BJ$5:$BJ$150,"Yes")</f>
        <v/>
      </c>
      <c r="H11" s="6" t="inlineStr">
        <is>
          <t>No status yet</t>
        </is>
      </c>
      <c r="I11" s="21">
        <f>COUNTIFS('AI Risk Register'!$A$5:$A$150,"&lt;&gt;",'AI Risk Register'!$BE$5:$BE$150,"")</f>
        <v/>
      </c>
    </row>
    <row r="12">
      <c r="A12" s="36" t="inlineStr">
        <is>
          <t>Deadline exceeded</t>
        </is>
      </c>
      <c r="B12" s="37">
        <f>COUNTIF('AI Risk Register'!$BF$5:$BF$150,"Deadline exceeded")</f>
        <v/>
      </c>
    </row>
    <row r="13">
      <c r="A13" s="38" t="inlineStr">
        <is>
          <t>Deadline approaching</t>
        </is>
      </c>
      <c r="B13" s="39">
        <f>COUNTIF('AI Risk Register'!$BF$5:$BF$150,"Deadline approaching")</f>
        <v/>
      </c>
    </row>
    <row r="14">
      <c r="A14" s="40" t="inlineStr">
        <is>
          <t>Treatment not yet chosen</t>
        </is>
      </c>
      <c r="B14" s="41">
        <f>COUNTIFS('AI Risk Register'!$A$5:$A$150,"&lt;&gt;",'AI Risk Register'!$W$5:$W$150,"")</f>
        <v/>
      </c>
      <c r="H14" s="17" t="inlineStr">
        <is>
          <t>By treatment decision</t>
        </is>
      </c>
    </row>
    <row r="15">
      <c r="A15" s="42" t="inlineStr">
        <is>
          <t>Records passing all checks</t>
        </is>
      </c>
      <c r="B15" s="43">
        <f>COUNTIF('AI Risk Register'!$BL$5:$BL$150,"OK")</f>
        <v/>
      </c>
      <c r="H15" s="25" t="inlineStr">
        <is>
          <t>Mitigate</t>
        </is>
      </c>
      <c r="I15" s="21">
        <f>COUNTIF('AI Risk Register'!$W$5:$W$150,"Mitigate")</f>
        <v/>
      </c>
    </row>
    <row r="16">
      <c r="A16" s="44" t="inlineStr">
        <is>
          <t>Applies to triaged use case</t>
        </is>
      </c>
      <c r="B16" s="45">
        <f>COUNTIF('AI Risk Register'!$N$5:$N$150,"Applies")</f>
        <v/>
      </c>
      <c r="H16" s="46" t="inlineStr">
        <is>
          <t>Avoid</t>
        </is>
      </c>
      <c r="I16" s="21">
        <f>COUNTIF('AI Risk Register'!$W$5:$W$150,"Avoid")</f>
        <v/>
      </c>
    </row>
    <row r="17">
      <c r="H17" s="27" t="inlineStr">
        <is>
          <t>Transfer</t>
        </is>
      </c>
      <c r="I17" s="21">
        <f>COUNTIF('AI Risk Register'!$W$5:$W$150,"Transfer")</f>
        <v/>
      </c>
    </row>
    <row r="18">
      <c r="A18" s="17" t="inlineStr">
        <is>
          <t>Heat map: current likelihood x current impact (number of risks)</t>
        </is>
      </c>
      <c r="H18" s="30" t="inlineStr">
        <is>
          <t>Accept</t>
        </is>
      </c>
      <c r="I18" s="21">
        <f>COUNTIF('AI Risk Register'!$W$5:$W$150,"Accept")</f>
        <v/>
      </c>
    </row>
    <row r="19">
      <c r="A19" s="47" t="inlineStr">
        <is>
          <t>Impact \ Likelihood</t>
        </is>
      </c>
      <c r="B19" s="48" t="inlineStr">
        <is>
          <t>1 Low</t>
        </is>
      </c>
      <c r="C19" s="48" t="inlineStr">
        <is>
          <t>2 Medium</t>
        </is>
      </c>
      <c r="D19" s="48" t="inlineStr">
        <is>
          <t>3 High</t>
        </is>
      </c>
      <c r="E19" s="48" t="inlineStr">
        <is>
          <t>4 Very High</t>
        </is>
      </c>
    </row>
    <row r="20">
      <c r="A20" s="47" t="inlineStr">
        <is>
          <t>4 Critical</t>
        </is>
      </c>
      <c r="B20" s="49">
        <f>COUNTIFS('AI Risk Register'!$Q$5:$Q$150,1,'AI Risk Register'!$R$5:$R$150,4)</f>
        <v/>
      </c>
      <c r="C20" s="49">
        <f>COUNTIFS('AI Risk Register'!$Q$5:$Q$150,2,'AI Risk Register'!$R$5:$R$150,4)</f>
        <v/>
      </c>
      <c r="D20" s="49">
        <f>COUNTIFS('AI Risk Register'!$Q$5:$Q$150,3,'AI Risk Register'!$R$5:$R$150,4)</f>
        <v/>
      </c>
      <c r="E20" s="49">
        <f>COUNTIFS('AI Risk Register'!$Q$5:$Q$150,4,'AI Risk Register'!$R$5:$R$150,4)</f>
        <v/>
      </c>
    </row>
    <row r="21">
      <c r="A21" s="47" t="inlineStr">
        <is>
          <t>3 High</t>
        </is>
      </c>
      <c r="B21" s="49">
        <f>COUNTIFS('AI Risk Register'!$Q$5:$Q$150,1,'AI Risk Register'!$R$5:$R$150,3)</f>
        <v/>
      </c>
      <c r="C21" s="49">
        <f>COUNTIFS('AI Risk Register'!$Q$5:$Q$150,2,'AI Risk Register'!$R$5:$R$150,3)</f>
        <v/>
      </c>
      <c r="D21" s="49">
        <f>COUNTIFS('AI Risk Register'!$Q$5:$Q$150,3,'AI Risk Register'!$R$5:$R$150,3)</f>
        <v/>
      </c>
      <c r="E21" s="49">
        <f>COUNTIFS('AI Risk Register'!$Q$5:$Q$150,4,'AI Risk Register'!$R$5:$R$150,3)</f>
        <v/>
      </c>
    </row>
    <row r="22">
      <c r="A22" s="47" t="inlineStr">
        <is>
          <t>2 Medium</t>
        </is>
      </c>
      <c r="B22" s="49">
        <f>COUNTIFS('AI Risk Register'!$Q$5:$Q$150,1,'AI Risk Register'!$R$5:$R$150,2)</f>
        <v/>
      </c>
      <c r="C22" s="49">
        <f>COUNTIFS('AI Risk Register'!$Q$5:$Q$150,2,'AI Risk Register'!$R$5:$R$150,2)</f>
        <v/>
      </c>
      <c r="D22" s="49">
        <f>COUNTIFS('AI Risk Register'!$Q$5:$Q$150,3,'AI Risk Register'!$R$5:$R$150,2)</f>
        <v/>
      </c>
      <c r="E22" s="49">
        <f>COUNTIFS('AI Risk Register'!$Q$5:$Q$150,4,'AI Risk Register'!$R$5:$R$150,2)</f>
        <v/>
      </c>
    </row>
    <row r="23">
      <c r="A23" s="47" t="inlineStr">
        <is>
          <t>1 Low</t>
        </is>
      </c>
      <c r="B23" s="49">
        <f>COUNTIFS('AI Risk Register'!$Q$5:$Q$150,1,'AI Risk Register'!$R$5:$R$150,1)</f>
        <v/>
      </c>
      <c r="C23" s="49">
        <f>COUNTIFS('AI Risk Register'!$Q$5:$Q$150,2,'AI Risk Register'!$R$5:$R$150,1)</f>
        <v/>
      </c>
      <c r="D23" s="49">
        <f>COUNTIFS('AI Risk Register'!$Q$5:$Q$150,3,'AI Risk Register'!$R$5:$R$150,1)</f>
        <v/>
      </c>
      <c r="E23" s="49">
        <f>COUNTIFS('AI Risk Register'!$Q$5:$Q$150,4,'AI Risk Register'!$R$5:$R$150,1)</f>
        <v/>
      </c>
    </row>
    <row r="24"/>
    <row r="25"/>
    <row r="26">
      <c r="A26" s="17" t="inlineStr">
        <is>
          <t>By owner domain (current rating)</t>
        </is>
      </c>
    </row>
    <row r="27">
      <c r="A27" s="16" t="inlineStr">
        <is>
          <t>Domain</t>
        </is>
      </c>
      <c r="B27" s="50" t="inlineStr">
        <is>
          <t>Critical</t>
        </is>
      </c>
      <c r="C27" s="51" t="inlineStr">
        <is>
          <t>High</t>
        </is>
      </c>
      <c r="D27" s="52" t="inlineStr">
        <is>
          <t>Medium</t>
        </is>
      </c>
      <c r="E27" s="53" t="inlineStr">
        <is>
          <t>Low</t>
        </is>
      </c>
      <c r="F27" s="16" t="inlineStr">
        <is>
          <t>Total</t>
        </is>
      </c>
    </row>
    <row r="28">
      <c r="A28" s="54" t="inlineStr">
        <is>
          <t>01 AI Governance and Accountability</t>
        </is>
      </c>
      <c r="B28" s="21">
        <f>SUMPRODUCT(('AI Risk Register'!$C$5:$C$150="01")*('AI Risk Register'!$T$5:$T$150="Critical"))</f>
        <v/>
      </c>
      <c r="C28" s="21">
        <f>SUMPRODUCT(('AI Risk Register'!$C$5:$C$150="01")*('AI Risk Register'!$T$5:$T$150="High"))</f>
        <v/>
      </c>
      <c r="D28" s="21">
        <f>SUMPRODUCT(('AI Risk Register'!$C$5:$C$150="01")*('AI Risk Register'!$T$5:$T$150="Medium"))</f>
        <v/>
      </c>
      <c r="E28" s="21">
        <f>SUMPRODUCT(('AI Risk Register'!$C$5:$C$150="01")*('AI Risk Register'!$T$5:$T$150="Low"))</f>
        <v/>
      </c>
      <c r="F28" s="21">
        <f>SUMPRODUCT(--('AI Risk Register'!$C$5:$C$150="01"))</f>
        <v/>
      </c>
    </row>
    <row r="29">
      <c r="A29" s="55" t="inlineStr">
        <is>
          <t>02 Strategy and Value Realization</t>
        </is>
      </c>
      <c r="B29" s="21">
        <f>SUMPRODUCT(('AI Risk Register'!$C$5:$C$150="02")*('AI Risk Register'!$T$5:$T$150="Critical"))</f>
        <v/>
      </c>
      <c r="C29" s="21">
        <f>SUMPRODUCT(('AI Risk Register'!$C$5:$C$150="02")*('AI Risk Register'!$T$5:$T$150="High"))</f>
        <v/>
      </c>
      <c r="D29" s="21">
        <f>SUMPRODUCT(('AI Risk Register'!$C$5:$C$150="02")*('AI Risk Register'!$T$5:$T$150="Medium"))</f>
        <v/>
      </c>
      <c r="E29" s="21">
        <f>SUMPRODUCT(('AI Risk Register'!$C$5:$C$150="02")*('AI Risk Register'!$T$5:$T$150="Low"))</f>
        <v/>
      </c>
      <c r="F29" s="21">
        <f>SUMPRODUCT(--('AI Risk Register'!$C$5:$C$150="02"))</f>
        <v/>
      </c>
    </row>
    <row r="30">
      <c r="A30" s="56" t="inlineStr">
        <is>
          <t>03 Data and Privacy</t>
        </is>
      </c>
      <c r="B30" s="21">
        <f>SUMPRODUCT(('AI Risk Register'!$C$5:$C$150="03")*('AI Risk Register'!$T$5:$T$150="Critical"))</f>
        <v/>
      </c>
      <c r="C30" s="21">
        <f>SUMPRODUCT(('AI Risk Register'!$C$5:$C$150="03")*('AI Risk Register'!$T$5:$T$150="High"))</f>
        <v/>
      </c>
      <c r="D30" s="21">
        <f>SUMPRODUCT(('AI Risk Register'!$C$5:$C$150="03")*('AI Risk Register'!$T$5:$T$150="Medium"))</f>
        <v/>
      </c>
      <c r="E30" s="21">
        <f>SUMPRODUCT(('AI Risk Register'!$C$5:$C$150="03")*('AI Risk Register'!$T$5:$T$150="Low"))</f>
        <v/>
      </c>
      <c r="F30" s="21">
        <f>SUMPRODUCT(--('AI Risk Register'!$C$5:$C$150="03"))</f>
        <v/>
      </c>
    </row>
    <row r="31">
      <c r="A31" s="57" t="inlineStr">
        <is>
          <t>04 Model Development and Performance</t>
        </is>
      </c>
      <c r="B31" s="21">
        <f>SUMPRODUCT(('AI Risk Register'!$C$5:$C$150="04")*('AI Risk Register'!$T$5:$T$150="Critical"))</f>
        <v/>
      </c>
      <c r="C31" s="21">
        <f>SUMPRODUCT(('AI Risk Register'!$C$5:$C$150="04")*('AI Risk Register'!$T$5:$T$150="High"))</f>
        <v/>
      </c>
      <c r="D31" s="21">
        <f>SUMPRODUCT(('AI Risk Register'!$C$5:$C$150="04")*('AI Risk Register'!$T$5:$T$150="Medium"))</f>
        <v/>
      </c>
      <c r="E31" s="21">
        <f>SUMPRODUCT(('AI Risk Register'!$C$5:$C$150="04")*('AI Risk Register'!$T$5:$T$150="Low"))</f>
        <v/>
      </c>
      <c r="F31" s="21">
        <f>SUMPRODUCT(--('AI Risk Register'!$C$5:$C$150="04"))</f>
        <v/>
      </c>
    </row>
    <row r="32">
      <c r="A32" s="58" t="inlineStr">
        <is>
          <t>05 Security and Adversarial Threats</t>
        </is>
      </c>
      <c r="B32" s="21">
        <f>SUMPRODUCT(('AI Risk Register'!$C$5:$C$150="05")*('AI Risk Register'!$T$5:$T$150="Critical"))</f>
        <v/>
      </c>
      <c r="C32" s="21">
        <f>SUMPRODUCT(('AI Risk Register'!$C$5:$C$150="05")*('AI Risk Register'!$T$5:$T$150="High"))</f>
        <v/>
      </c>
      <c r="D32" s="21">
        <f>SUMPRODUCT(('AI Risk Register'!$C$5:$C$150="05")*('AI Risk Register'!$T$5:$T$150="Medium"))</f>
        <v/>
      </c>
      <c r="E32" s="21">
        <f>SUMPRODUCT(('AI Risk Register'!$C$5:$C$150="05")*('AI Risk Register'!$T$5:$T$150="Low"))</f>
        <v/>
      </c>
      <c r="F32" s="21">
        <f>SUMPRODUCT(--('AI Risk Register'!$C$5:$C$150="05"))</f>
        <v/>
      </c>
    </row>
    <row r="33">
      <c r="A33" s="59" t="inlineStr">
        <is>
          <t>06 Safety, Ethics and Responsible AI</t>
        </is>
      </c>
      <c r="B33" s="21">
        <f>SUMPRODUCT(('AI Risk Register'!$C$5:$C$150="06")*('AI Risk Register'!$T$5:$T$150="Critical"))</f>
        <v/>
      </c>
      <c r="C33" s="21">
        <f>SUMPRODUCT(('AI Risk Register'!$C$5:$C$150="06")*('AI Risk Register'!$T$5:$T$150="High"))</f>
        <v/>
      </c>
      <c r="D33" s="21">
        <f>SUMPRODUCT(('AI Risk Register'!$C$5:$C$150="06")*('AI Risk Register'!$T$5:$T$150="Medium"))</f>
        <v/>
      </c>
      <c r="E33" s="21">
        <f>SUMPRODUCT(('AI Risk Register'!$C$5:$C$150="06")*('AI Risk Register'!$T$5:$T$150="Low"))</f>
        <v/>
      </c>
      <c r="F33" s="21">
        <f>SUMPRODUCT(--('AI Risk Register'!$C$5:$C$150="06"))</f>
        <v/>
      </c>
    </row>
    <row r="34">
      <c r="A34" s="60" t="inlineStr">
        <is>
          <t>07 Operations and Resilience</t>
        </is>
      </c>
      <c r="B34" s="21">
        <f>SUMPRODUCT(('AI Risk Register'!$C$5:$C$150="07")*('AI Risk Register'!$T$5:$T$150="Critical"))</f>
        <v/>
      </c>
      <c r="C34" s="21">
        <f>SUMPRODUCT(('AI Risk Register'!$C$5:$C$150="07")*('AI Risk Register'!$T$5:$T$150="High"))</f>
        <v/>
      </c>
      <c r="D34" s="21">
        <f>SUMPRODUCT(('AI Risk Register'!$C$5:$C$150="07")*('AI Risk Register'!$T$5:$T$150="Medium"))</f>
        <v/>
      </c>
      <c r="E34" s="21">
        <f>SUMPRODUCT(('AI Risk Register'!$C$5:$C$150="07")*('AI Risk Register'!$T$5:$T$150="Low"))</f>
        <v/>
      </c>
      <c r="F34" s="21">
        <f>SUMPRODUCT(--('AI Risk Register'!$C$5:$C$150="07"))</f>
        <v/>
      </c>
    </row>
    <row r="35">
      <c r="A35" s="61" t="inlineStr">
        <is>
          <t>08 Legal, Regulatory and Compliance</t>
        </is>
      </c>
      <c r="B35" s="21">
        <f>SUMPRODUCT(('AI Risk Register'!$C$5:$C$150="08")*('AI Risk Register'!$T$5:$T$150="Critical"))</f>
        <v/>
      </c>
      <c r="C35" s="21">
        <f>SUMPRODUCT(('AI Risk Register'!$C$5:$C$150="08")*('AI Risk Register'!$T$5:$T$150="High"))</f>
        <v/>
      </c>
      <c r="D35" s="21">
        <f>SUMPRODUCT(('AI Risk Register'!$C$5:$C$150="08")*('AI Risk Register'!$T$5:$T$150="Medium"))</f>
        <v/>
      </c>
      <c r="E35" s="21">
        <f>SUMPRODUCT(('AI Risk Register'!$C$5:$C$150="08")*('AI Risk Register'!$T$5:$T$150="Low"))</f>
        <v/>
      </c>
      <c r="F35" s="21">
        <f>SUMPRODUCT(--('AI Risk Register'!$C$5:$C$150="08"))</f>
        <v/>
      </c>
    </row>
    <row r="36">
      <c r="A36" s="62" t="inlineStr">
        <is>
          <t>09 Third-Party and Model Supply Chain</t>
        </is>
      </c>
      <c r="B36" s="21">
        <f>SUMPRODUCT(('AI Risk Register'!$C$5:$C$150="09")*('AI Risk Register'!$T$5:$T$150="Critical"))</f>
        <v/>
      </c>
      <c r="C36" s="21">
        <f>SUMPRODUCT(('AI Risk Register'!$C$5:$C$150="09")*('AI Risk Register'!$T$5:$T$150="High"))</f>
        <v/>
      </c>
      <c r="D36" s="21">
        <f>SUMPRODUCT(('AI Risk Register'!$C$5:$C$150="09")*('AI Risk Register'!$T$5:$T$150="Medium"))</f>
        <v/>
      </c>
      <c r="E36" s="21">
        <f>SUMPRODUCT(('AI Risk Register'!$C$5:$C$150="09")*('AI Risk Register'!$T$5:$T$150="Low"))</f>
        <v/>
      </c>
      <c r="F36" s="21">
        <f>SUMPRODUCT(--('AI Risk Register'!$C$5:$C$150="09"))</f>
        <v/>
      </c>
    </row>
    <row r="37">
      <c r="A37" s="63" t="inlineStr">
        <is>
          <t>10 Workforce, Human and Societal</t>
        </is>
      </c>
      <c r="B37" s="21">
        <f>SUMPRODUCT(('AI Risk Register'!$C$5:$C$150="10")*('AI Risk Register'!$T$5:$T$150="Critical"))</f>
        <v/>
      </c>
      <c r="C37" s="21">
        <f>SUMPRODUCT(('AI Risk Register'!$C$5:$C$150="10")*('AI Risk Register'!$T$5:$T$150="High"))</f>
        <v/>
      </c>
      <c r="D37" s="21">
        <f>SUMPRODUCT(('AI Risk Register'!$C$5:$C$150="10")*('AI Risk Register'!$T$5:$T$150="Medium"))</f>
        <v/>
      </c>
      <c r="E37" s="21">
        <f>SUMPRODUCT(('AI Risk Register'!$C$5:$C$150="10")*('AI Risk Register'!$T$5:$T$150="Low"))</f>
        <v/>
      </c>
      <c r="F37" s="21">
        <f>SUMPRODUCT(--('AI Risk Register'!$C$5:$C$150="10"))</f>
        <v/>
      </c>
    </row>
    <row r="38">
      <c r="A38" s="64" t="inlineStr">
        <is>
          <t>11 Financial and Resource</t>
        </is>
      </c>
      <c r="B38" s="21">
        <f>SUMPRODUCT(('AI Risk Register'!$C$5:$C$150="11")*('AI Risk Register'!$T$5:$T$150="Critical"))</f>
        <v/>
      </c>
      <c r="C38" s="21">
        <f>SUMPRODUCT(('AI Risk Register'!$C$5:$C$150="11")*('AI Risk Register'!$T$5:$T$150="High"))</f>
        <v/>
      </c>
      <c r="D38" s="21">
        <f>SUMPRODUCT(('AI Risk Register'!$C$5:$C$150="11")*('AI Risk Register'!$T$5:$T$150="Medium"))</f>
        <v/>
      </c>
      <c r="E38" s="21">
        <f>SUMPRODUCT(('AI Risk Register'!$C$5:$C$150="11")*('AI Risk Register'!$T$5:$T$150="Low"))</f>
        <v/>
      </c>
      <c r="F38" s="21">
        <f>SUMPRODUCT(--('AI Risk Register'!$C$5:$C$150="11"))</f>
        <v/>
      </c>
    </row>
    <row r="39">
      <c r="A39" s="65" t="inlineStr">
        <is>
          <t>12 Autonomy and Delegated Action (Agentic AI)</t>
        </is>
      </c>
      <c r="B39" s="21">
        <f>SUMPRODUCT(('AI Risk Register'!$C$5:$C$150="12")*('AI Risk Register'!$T$5:$T$150="Critical"))</f>
        <v/>
      </c>
      <c r="C39" s="21">
        <f>SUMPRODUCT(('AI Risk Register'!$C$5:$C$150="12")*('AI Risk Register'!$T$5:$T$150="High"))</f>
        <v/>
      </c>
      <c r="D39" s="21">
        <f>SUMPRODUCT(('AI Risk Register'!$C$5:$C$150="12")*('AI Risk Register'!$T$5:$T$150="Medium"))</f>
        <v/>
      </c>
      <c r="E39" s="21">
        <f>SUMPRODUCT(('AI Risk Register'!$C$5:$C$150="12")*('AI Risk Register'!$T$5:$T$150="Low"))</f>
        <v/>
      </c>
      <c r="F39" s="21">
        <f>SUMPRODUCT(--('AI Risk Register'!$C$5:$C$150="12"))</f>
        <v/>
      </c>
    </row>
    <row r="40"/>
    <row r="41" ht="28" customHeight="1">
      <c r="A41" s="9" t="inlineStr">
        <is>
          <t>AI Risk Register Workbook Copyright (c) 2026 Nachiket Sathaye and Ankush Jain. Licensed under CC BY-SA 4.0 (https://creativecommons.org/licenses/by-sa/4.0/). See the License sheet for credit, ShareAlike and third-party terms.</t>
        </is>
      </c>
    </row>
  </sheetData>
  <mergeCells count="1">
    <mergeCell ref="A41:F41"/>
  </mergeCells>
  <conditionalFormatting sqref="B20:E23">
    <cfRule type="expression" priority="1" dxfId="0" stopIfTrue="1">
      <formula>(COLUMN(B20)-1)*(24-ROW(B20))&gt;=Settings!$B$23</formula>
    </cfRule>
    <cfRule type="expression" priority="2" dxfId="1" stopIfTrue="1">
      <formula>(COLUMN(B20)-1)*(24-ROW(B20))&gt;=Settings!$B$22</formula>
    </cfRule>
    <cfRule type="expression" priority="3" dxfId="2" stopIfTrue="1">
      <formula>(COLUMN(B20)-1)*(24-ROW(B20))&gt;=Settings!$B$21</formula>
    </cfRule>
    <cfRule type="expression" priority="4" dxfId="3" stopIfTrue="1">
      <formula>(COLUMN(B20)-1)*(24-ROW(B20))&gt;=Settings!$B$20</formula>
    </cfRule>
  </conditionalFormatting>
  <conditionalFormatting sqref="B28:E39">
    <cfRule type="cellIs" priority="5" operator="greaterThan" dxfId="4">
      <formula>0</formula>
    </cfRule>
  </conditionalFormatting>
  <pageMargins left="0.75" right="0.75" top="1" bottom="1" header="0.5" footer="0.5"/>
</worksheet>
</file>

<file path=xl/worksheets/sheet4.xml><?xml version="1.0" encoding="utf-8"?>
<worksheet xmlns="http://schemas.openxmlformats.org/spreadsheetml/2006/main">
  <sheetPr>
    <tabColor rgb="002F5597"/>
    <outlinePr summaryBelow="1" summaryRight="1"/>
    <pageSetUpPr/>
  </sheetPr>
  <dimension ref="A1:BM150"/>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9" customWidth="1" min="3" max="3"/>
    <col width="24" customWidth="1" min="4" max="4"/>
    <col width="24" customWidth="1" min="5" max="5"/>
    <col width="10" customWidth="1" min="6" max="6"/>
    <col width="22" customWidth="1" min="7" max="7"/>
    <col width="20" customWidth="1" min="8" max="8"/>
    <col width="22" customWidth="1" min="9" max="9"/>
    <col width="60" customWidth="1" min="10" max="10"/>
    <col width="40" customWidth="1" min="11" max="11"/>
    <col width="18" customWidth="1" min="12" max="12"/>
    <col width="12" customWidth="1" min="13" max="13"/>
    <col width="13" customWidth="1" min="14" max="14"/>
    <col width="34" customWidth="1" min="15" max="15"/>
    <col width="12" customWidth="1" min="16" max="16"/>
    <col width="11" customWidth="1" min="17" max="17"/>
    <col width="11" customWidth="1" min="18" max="18"/>
    <col width="9" customWidth="1" min="19" max="19"/>
    <col width="11" customWidth="1" min="20" max="20"/>
    <col width="18" customWidth="1" min="21" max="21"/>
    <col width="14" customWidth="1" min="22" max="22"/>
    <col width="12" customWidth="1" min="23" max="23"/>
    <col width="36" customWidth="1" min="24" max="24"/>
    <col width="30" customWidth="1" min="25" max="25"/>
    <col width="24" customWidth="1" min="26" max="26"/>
    <col width="34" customWidth="1" min="27" max="27"/>
    <col width="34" customWidth="1" min="28" max="28"/>
    <col width="18" customWidth="1" min="29" max="29"/>
    <col width="18" customWidth="1" min="30" max="30"/>
    <col width="20" customWidth="1" min="31" max="31"/>
    <col width="18" customWidth="1" min="32" max="32"/>
    <col width="22" customWidth="1" min="33" max="33"/>
    <col width="16" customWidth="1" min="34" max="34"/>
    <col width="16" customWidth="1" min="35" max="35"/>
    <col width="12" customWidth="1" min="36" max="36"/>
    <col width="16" customWidth="1" min="37" max="37"/>
    <col width="20" customWidth="1" min="38" max="38"/>
    <col width="24" customWidth="1" min="39" max="39"/>
    <col width="14" customWidth="1" min="40" max="40"/>
    <col width="24" customWidth="1" min="41" max="41"/>
    <col width="24" customWidth="1" min="42" max="42"/>
    <col width="11" customWidth="1" min="43" max="43"/>
    <col width="10" customWidth="1" min="44" max="44"/>
    <col width="11" customWidth="1" min="45" max="45"/>
    <col width="11" customWidth="1" min="46" max="46"/>
    <col width="9" customWidth="1" min="47" max="47"/>
    <col width="11" customWidth="1" min="48" max="48"/>
    <col width="11" customWidth="1" min="49" max="49"/>
    <col width="10" customWidth="1" min="50" max="50"/>
    <col width="24" customWidth="1" min="51" max="51"/>
    <col width="20" customWidth="1" min="52" max="52"/>
    <col width="18" customWidth="1" min="53" max="53"/>
    <col width="12" customWidth="1" min="54" max="54"/>
    <col width="12" customWidth="1" min="55" max="55"/>
    <col width="12" customWidth="1" min="56" max="56"/>
    <col width="14" customWidth="1" min="57" max="57"/>
    <col width="16" customWidth="1" min="58" max="58"/>
    <col width="12" customWidth="1" min="59" max="59"/>
    <col width="12" customWidth="1" min="60" max="60"/>
    <col width="12" customWidth="1" min="61" max="61"/>
    <col width="12" customWidth="1" min="62" max="62"/>
    <col width="26" customWidth="1" min="63" max="63"/>
    <col width="34" customWidth="1" min="64" max="64"/>
    <col width="30" customWidth="1" min="65" max="65"/>
  </cols>
  <sheetData>
    <row r="1" ht="30" customHeight="1">
      <c r="A1" s="66" t="inlineStr">
        <is>
          <t>Enterprise AI Risk Register</t>
        </is>
      </c>
      <c r="B1" s="67" t="n"/>
      <c r="C1" s="67" t="n"/>
      <c r="D1" s="67" t="n"/>
      <c r="E1" s="67" t="n"/>
      <c r="F1" s="67" t="n"/>
      <c r="G1" s="67" t="n"/>
      <c r="H1" s="67" t="n"/>
      <c r="I1" s="67" t="n"/>
      <c r="J1" s="67" t="n"/>
      <c r="K1" s="67" t="n"/>
      <c r="L1" s="67" t="n"/>
      <c r="M1" s="67" t="n"/>
      <c r="N1" s="67" t="n"/>
      <c r="O1" s="67" t="n"/>
      <c r="P1" s="67" t="n"/>
      <c r="Q1" s="67" t="n"/>
      <c r="R1" s="67" t="n"/>
      <c r="S1" s="67" t="n"/>
      <c r="T1" s="67" t="n"/>
      <c r="U1" s="67" t="n"/>
      <c r="V1" s="67" t="n"/>
      <c r="W1" s="67" t="n"/>
      <c r="X1" s="67" t="n"/>
      <c r="Y1" s="67" t="n"/>
      <c r="Z1" s="67" t="n"/>
      <c r="AA1" s="67" t="n"/>
      <c r="AB1" s="67" t="n"/>
      <c r="AC1" s="67" t="n"/>
      <c r="AD1" s="67" t="n"/>
      <c r="AE1" s="67" t="n"/>
      <c r="AF1" s="67" t="n"/>
      <c r="AG1" s="67" t="n"/>
      <c r="AH1" s="67" t="n"/>
      <c r="AI1" s="67" t="n"/>
      <c r="AJ1" s="67" t="n"/>
      <c r="AK1" s="67" t="n"/>
      <c r="AL1" s="67" t="n"/>
      <c r="AM1" s="67" t="n"/>
      <c r="AN1" s="67" t="n"/>
      <c r="AO1" s="67" t="n"/>
      <c r="AP1" s="67" t="n"/>
      <c r="AQ1" s="67" t="n"/>
      <c r="AR1" s="67" t="n"/>
      <c r="AS1" s="67" t="n"/>
      <c r="AT1" s="67" t="n"/>
      <c r="AU1" s="67" t="n"/>
      <c r="AV1" s="67" t="n"/>
      <c r="AW1" s="67" t="n"/>
      <c r="AX1" s="67" t="n"/>
      <c r="AY1" s="67" t="n"/>
      <c r="AZ1" s="67" t="n"/>
      <c r="BA1" s="67" t="n"/>
      <c r="BB1" s="67" t="n"/>
      <c r="BC1" s="67" t="n"/>
      <c r="BD1" s="67" t="n"/>
      <c r="BE1" s="67" t="n"/>
      <c r="BF1" s="67" t="n"/>
      <c r="BG1" s="67" t="n"/>
      <c r="BH1" s="67" t="n"/>
      <c r="BI1" s="67" t="n"/>
      <c r="BJ1" s="67" t="n"/>
      <c r="BK1" s="67" t="n"/>
      <c r="BL1" s="67" t="n"/>
      <c r="BM1" s="67" t="n"/>
    </row>
    <row r="2" ht="30" customHeight="1">
      <c r="A2" s="68" t="inlineStr">
        <is>
          <t>Pre-filled with the 55 risks of the AI Security Wiki register. Ratings are the wiki's generic examples, not an assessment of any organization: re-score every row. Yellow = enter or choose; grey = calculated; white = from the wiki (editable). Rows {5 + len(D["risks"])} to 150 are free for new risks.</t>
        </is>
      </c>
    </row>
    <row r="3">
      <c r="A3" s="69" t="inlineStr">
        <is>
          <t>Risk Identification</t>
        </is>
      </c>
      <c r="O3" s="70" t="inlineStr">
        <is>
          <t>Current Risk Assessment (with existing controls)</t>
        </is>
      </c>
      <c r="W3" s="71" t="inlineStr">
        <is>
          <t>Risk Treatment and Control Mapping</t>
        </is>
      </c>
      <c r="AS3" s="72" t="inlineStr">
        <is>
          <t>Values After Planned Treatment</t>
        </is>
      </c>
      <c r="AZ3" s="73" t="inlineStr">
        <is>
          <t>Ownership, Mitigation and Tracking</t>
        </is>
      </c>
    </row>
    <row r="4" ht="54" customHeight="1">
      <c r="A4" s="74" t="inlineStr">
        <is>
          <t>Risk ID</t>
        </is>
      </c>
      <c r="B4" s="74" t="inlineStr">
        <is>
          <t>Risk Title</t>
        </is>
      </c>
      <c r="C4" s="74" t="inlineStr">
        <is>
          <t>Owner Domain</t>
        </is>
      </c>
      <c r="D4" s="74" t="inlineStr">
        <is>
          <t>Owner Domain Name</t>
        </is>
      </c>
      <c r="E4" s="74" t="inlineStr">
        <is>
          <t>Suggested Owner (wiki)</t>
        </is>
      </c>
      <c r="F4" s="74" t="inlineStr">
        <is>
          <t>Second Owner Domain</t>
        </is>
      </c>
      <c r="G4" s="74" t="inlineStr">
        <is>
          <t>AI System / Use Case</t>
        </is>
      </c>
      <c r="H4" s="74" t="inlineStr">
        <is>
          <t>AI Channel</t>
        </is>
      </c>
      <c r="I4" s="74" t="inlineStr">
        <is>
          <t>AI Asset Type</t>
        </is>
      </c>
      <c r="J4" s="74" t="inlineStr">
        <is>
          <t>Risk Description (wiki risk factor)</t>
        </is>
      </c>
      <c r="K4" s="74" t="inlineStr">
        <is>
          <t>Risk Scenario for this system</t>
        </is>
      </c>
      <c r="L4" s="74" t="inlineStr">
        <is>
          <t>Main Impact Type</t>
        </is>
      </c>
      <c r="M4" s="74" t="inlineStr">
        <is>
          <t>Triage Questions</t>
        </is>
      </c>
      <c r="N4" s="74" t="inlineStr">
        <is>
          <t>Triage Result</t>
        </is>
      </c>
      <c r="O4" s="75" t="inlineStr">
        <is>
          <t>Existing Controls in Place</t>
        </is>
      </c>
      <c r="P4" s="75" t="inlineStr">
        <is>
          <t>Existing Control Coverage</t>
        </is>
      </c>
      <c r="Q4" s="75" t="inlineStr">
        <is>
          <t>Current Likelihood (1-4)</t>
        </is>
      </c>
      <c r="R4" s="75" t="inlineStr">
        <is>
          <t>Current Impact (1-4)</t>
        </is>
      </c>
      <c r="S4" s="75" t="inlineStr">
        <is>
          <t>Current Score</t>
        </is>
      </c>
      <c r="T4" s="75" t="inlineStr">
        <is>
          <t>Current Rating</t>
        </is>
      </c>
      <c r="U4" s="75" t="inlineStr">
        <is>
          <t>Assessment Approach</t>
        </is>
      </c>
      <c r="V4" s="75" t="inlineStr">
        <is>
          <t>Estimated Annual Loss (optional)</t>
        </is>
      </c>
      <c r="W4" s="76" t="inlineStr">
        <is>
          <t>Treatment Decision</t>
        </is>
      </c>
      <c r="X4" s="76" t="inlineStr">
        <is>
          <t>Treatment Plan / Justification</t>
        </is>
      </c>
      <c r="Y4" s="76" t="inlineStr">
        <is>
          <t>Mapped Controls (AI-CTRL)</t>
        </is>
      </c>
      <c r="Z4" s="76" t="inlineStr">
        <is>
          <t>Baseline-Tier Controls</t>
        </is>
      </c>
      <c r="AA4" s="76" t="inlineStr">
        <is>
          <t>Primary Control Measures</t>
        </is>
      </c>
      <c r="AB4" s="76" t="inlineStr">
        <is>
          <t>Evidence Required</t>
        </is>
      </c>
      <c r="AC4" s="76" t="inlineStr">
        <is>
          <t>ISO/IEC 42001 Annex A</t>
        </is>
      </c>
      <c r="AD4" s="76" t="inlineStr">
        <is>
          <t>ISO/IEC 27001:2022 Annex A</t>
        </is>
      </c>
      <c r="AE4" s="76" t="inlineStr">
        <is>
          <t>NIST AI RMF</t>
        </is>
      </c>
      <c r="AF4" s="76" t="inlineStr">
        <is>
          <t>OWASP (LLM / Agentic)</t>
        </is>
      </c>
      <c r="AG4" s="76" t="inlineStr">
        <is>
          <t>MITRE ATLAS Techniques</t>
        </is>
      </c>
      <c r="AH4" s="76" t="inlineStr">
        <is>
          <t>FINOS AIGF</t>
        </is>
      </c>
      <c r="AI4" s="76" t="inlineStr">
        <is>
          <t>NIST CSF</t>
        </is>
      </c>
      <c r="AJ4" s="76" t="inlineStr">
        <is>
          <t>CIS Controls</t>
        </is>
      </c>
      <c r="AK4" s="76" t="inlineStr">
        <is>
          <t>SOC 2</t>
        </is>
      </c>
      <c r="AL4" s="76" t="inlineStr">
        <is>
          <t>NIST AI 600-1</t>
        </is>
      </c>
      <c r="AM4" s="76" t="inlineStr">
        <is>
          <t>AI Risk Map v1.3</t>
        </is>
      </c>
      <c r="AN4" s="76" t="inlineStr">
        <is>
          <t>OWASP MCP Top 10</t>
        </is>
      </c>
      <c r="AO4" s="76" t="inlineStr">
        <is>
          <t>Ethics, Principles and International Instruments</t>
        </is>
      </c>
      <c r="AP4" s="76" t="inlineStr">
        <is>
          <t>Regulations Linked (IDs, via controls)</t>
        </is>
      </c>
      <c r="AQ4" s="76" t="inlineStr">
        <is>
          <t>Framework Items Linked (all crosswalks)</t>
        </is>
      </c>
      <c r="AR4" s="76" t="inlineStr">
        <is>
          <t>Test Cases (wiki count)</t>
        </is>
      </c>
      <c r="AS4" s="16" t="inlineStr">
        <is>
          <t>Target Likelihood (1-4)</t>
        </is>
      </c>
      <c r="AT4" s="16" t="inlineStr">
        <is>
          <t>Target Impact (1-4)</t>
        </is>
      </c>
      <c r="AU4" s="16" t="inlineStr">
        <is>
          <t>Target Score</t>
        </is>
      </c>
      <c r="AV4" s="16" t="inlineStr">
        <is>
          <t>Target Rating</t>
        </is>
      </c>
      <c r="AW4" s="16" t="inlineStr">
        <is>
          <t>Residual Rating Used</t>
        </is>
      </c>
      <c r="AX4" s="16" t="inlineStr">
        <is>
          <t>Within Appetite?</t>
        </is>
      </c>
      <c r="AY4" s="16" t="inlineStr">
        <is>
          <t>Acceptance Authority</t>
        </is>
      </c>
      <c r="AZ4" s="77" t="inlineStr">
        <is>
          <t>Risk Owner (accountable)</t>
        </is>
      </c>
      <c r="BA4" s="77" t="inlineStr">
        <is>
          <t>Implementation Owner</t>
        </is>
      </c>
      <c r="BB4" s="77" t="inlineStr">
        <is>
          <t>Date Identified</t>
        </is>
      </c>
      <c r="BC4" s="77" t="inlineStr">
        <is>
          <t>Mitigation Deadline</t>
        </is>
      </c>
      <c r="BD4" s="77" t="inlineStr">
        <is>
          <t>Target Implementation Date</t>
        </is>
      </c>
      <c r="BE4" s="77" t="inlineStr">
        <is>
          <t>Status</t>
        </is>
      </c>
      <c r="BF4" s="77" t="inlineStr">
        <is>
          <t>Deadline Alert</t>
        </is>
      </c>
      <c r="BG4" s="77" t="inlineStr">
        <is>
          <t>Acceptance Expiry</t>
        </is>
      </c>
      <c r="BH4" s="77" t="inlineStr">
        <is>
          <t>Last Review Date</t>
        </is>
      </c>
      <c r="BI4" s="77" t="inlineStr">
        <is>
          <t>Next Review Due</t>
        </is>
      </c>
      <c r="BJ4" s="77" t="inlineStr">
        <is>
          <t>Report to AI Governance Committee?</t>
        </is>
      </c>
      <c r="BK4" s="77" t="inlineStr">
        <is>
          <t>Consulted (who, what changed)</t>
        </is>
      </c>
      <c r="BL4" s="77" t="inlineStr">
        <is>
          <t>Record Check</t>
        </is>
      </c>
      <c r="BM4" s="77" t="inlineStr">
        <is>
          <t>Notes</t>
        </is>
      </c>
    </row>
    <row r="5" ht="105" customHeight="1">
      <c r="A5" s="78" t="inlineStr">
        <is>
          <t>AI-R01</t>
        </is>
      </c>
      <c r="B5" s="79" t="inlineStr">
        <is>
          <t>Critical Infrastructure Information Exposure</t>
        </is>
      </c>
      <c r="C5" s="80" t="inlineStr">
        <is>
          <t>03</t>
        </is>
      </c>
      <c r="D5" s="81">
        <f>IF(C5="","",IFERROR(INDEX(Lists!$O$2:$O$13,MATCH(C5,Lists!$N$2:$N$13,0)),"Check domain code"))</f>
        <v/>
      </c>
      <c r="E5" s="81">
        <f>IF(C5="","",IFERROR(INDEX(Lists!$P$2:$P$13,MATCH(C5,Lists!$N$2:$N$13,0)),""))</f>
        <v/>
      </c>
      <c r="F5" s="80" t="n"/>
      <c r="G5" s="82" t="inlineStr">
        <is>
          <t>Enterprise-wide (all AI use)</t>
        </is>
      </c>
      <c r="H5" s="82" t="n"/>
      <c r="I5" s="82" t="n"/>
      <c r="J5" s="83" t="inlineStr">
        <is>
          <t>Users may submit sensitive infrastructure, architecture, security, operational or business information into AI tools for summarization, translation, troubleshooting or code support. Required controls include prompt inspection, upload inspection, classification-aware policy enforcement, audit logging and SOC alerting.</t>
        </is>
      </c>
      <c r="K5" s="82" t="n"/>
      <c r="L5" s="82" t="n"/>
      <c r="M5" s="84" t="inlineStr">
        <is>
          <t>B1; C3</t>
        </is>
      </c>
      <c r="N5" s="21">
        <f>IF(COUNTIF(Triage!$E$6:$E$48,"Yes")+COUNTIF(Triage!$E$6:$E$48,"No")=0,"Not triaged",IF(SUMPRODUCT(COUNTIFS(Triage!$A$6:$A$48,{"B1","C3"},Triage!$E$6:$E$48,"Yes"))&gt;0,"Applies","Not triggered"))</f>
        <v/>
      </c>
      <c r="O5" s="82" t="n"/>
      <c r="P5" s="85" t="n"/>
      <c r="Q5" s="85" t="n">
        <v>3</v>
      </c>
      <c r="R5" s="85" t="n">
        <v>4</v>
      </c>
      <c r="S5" s="21">
        <f>IF(OR(Q5="",R5=""),"",Q5*R5)</f>
        <v/>
      </c>
      <c r="T5" s="21">
        <f>IF(S5="","",INDEX(Settings!$A$20:$A$23,MATCH(S5,Settings!$B$20:$B$23,1)))</f>
        <v/>
      </c>
      <c r="U5" s="82" t="inlineStr">
        <is>
          <t>Qualitative (4 x 4)</t>
        </is>
      </c>
      <c r="V5" s="86" t="n"/>
      <c r="W5" s="85" t="n"/>
      <c r="X5" s="82" t="n"/>
      <c r="Y5" s="87" t="inlineStr">
        <is>
          <t>AI-CTRL-002, AI-CTRL-003, AI-CTRL-010, AI-CTRL-017</t>
        </is>
      </c>
      <c r="Z5" s="87" t="inlineStr">
        <is>
          <t>AI-CTRL-002, AI-CTRL-017</t>
        </is>
      </c>
      <c r="AA5" s="87" t="inlineStr">
        <is>
          <t>Prompt inspection; file upload protection; classification-aware enforcement</t>
        </is>
      </c>
      <c r="AB5" s="87" t="inlineStr">
        <is>
          <t>Prompt logs; upload block logs; data classification policy; SOC alerts</t>
        </is>
      </c>
      <c r="AC5" s="87" t="inlineStr">
        <is>
          <t>A.2.2; A.4.3; A.7.6; A.9.2</t>
        </is>
      </c>
      <c r="AD5" s="87" t="inlineStr">
        <is>
          <t>A.5.10; A.5.12; A.5.13; A.5.14; A.8.1; A.8.10; A.8.11; A.8.12; A.8.23; A.8.24; A.8.33</t>
        </is>
      </c>
      <c r="AE5" s="87" t="inlineStr">
        <is>
          <t>GOVERN 1.4; MANAGE 1.3; MANAGE 4.1; MEASURE 2.7; MEASURE 2.10</t>
        </is>
      </c>
      <c r="AF5" s="87" t="inlineStr">
        <is>
          <t>LLM02:2025</t>
        </is>
      </c>
      <c r="AG5" s="87" t="inlineStr">
        <is>
          <t>AML.T0025; AML.T0057; AML.T0085</t>
        </is>
      </c>
      <c r="AH5" s="87" t="inlineStr">
        <is>
          <t>AIR-RC-001</t>
        </is>
      </c>
      <c r="AI5" s="87" t="inlineStr">
        <is>
          <t>DE.CM; GV.PO; ID.AM; PR.DS</t>
        </is>
      </c>
      <c r="AJ5" s="88" t="inlineStr">
        <is>
          <t>CIS 3; CIS 9</t>
        </is>
      </c>
      <c r="AK5" s="87" t="inlineStr">
        <is>
          <t>C1.1; C1.2; CC5.3; CC6.1; CC6.7</t>
        </is>
      </c>
      <c r="AL5" s="87" t="inlineStr">
        <is>
          <t>None</t>
        </is>
      </c>
      <c r="AM5" s="87" t="inlineStr">
        <is>
          <t>None</t>
        </is>
      </c>
      <c r="AN5" s="87" t="inlineStr">
        <is>
          <t>None</t>
        </is>
      </c>
      <c r="AO5" s="87" t="inlineStr">
        <is>
          <t>EU Ethics Guidelines: Privacy and data governance; UNESCO Recommendation: Right to privacy and data protection; IEEE 7000-series: IEEE 7002-2022; Council of Europe AI Convention: Art. 11</t>
        </is>
      </c>
      <c r="AP5" s="87" t="inlineStr">
        <is>
          <t>GCC: U1, S1, S3, Q1; EU: E2; UK: UK2; US: US17; Brazil: BR2; India: IN1; Singapore: SG4, SG5, MAS 2.3 to 2.5, MAS 5.4</t>
        </is>
      </c>
      <c r="AQ5" s="88" t="n">
        <v>84</v>
      </c>
      <c r="AR5" s="88" t="n">
        <v>87</v>
      </c>
      <c r="AS5" s="85" t="n"/>
      <c r="AT5" s="85" t="n"/>
      <c r="AU5" s="21">
        <f>IF(OR(AS5="",AT5=""),"",AS5*AT5)</f>
        <v/>
      </c>
      <c r="AV5" s="21">
        <f>IF(AU5="","",INDEX(Settings!$A$20:$A$23,MATCH(AU5,Settings!$B$20:$B$23,1)))</f>
        <v/>
      </c>
      <c r="AW5" s="21">
        <f>IF(AV5&lt;&gt;"",AV5,T5)</f>
        <v/>
      </c>
      <c r="AX5" s="21">
        <f>IF(AW5="","",IF(MATCH(AW5,Settings!$A$20:$A$23,0)&lt;=MATCH(Settings!$C$28,Settings!$A$20:$A$23,0),"Yes","No"))</f>
        <v/>
      </c>
      <c r="AY5" s="81">
        <f>IF(AW5="","",IF(AX5="Yes",INDEX(Settings!$G$20:$G$23,MATCH(AW5,Settings!$A$20:$A$23,0)),INDEX(Settings!$G$20:$G$23,MATCH(AW5,Settings!$A$20:$A$23,0))&amp;" (outside appetite)"))</f>
        <v/>
      </c>
      <c r="AZ5" s="82" t="n"/>
      <c r="BA5" s="82" t="n"/>
      <c r="BB5" s="89" t="n"/>
      <c r="BC5" s="90">
        <f>IF(OR(BB5="",T5=""),"",BB5+INDEX(Settings!$E$20:$E$23,MATCH(T5,Settings!$A$20:$A$23,0)))</f>
        <v/>
      </c>
      <c r="BD5" s="89" t="n"/>
      <c r="BE5" s="82" t="n"/>
      <c r="BF5" s="81">
        <f>IF(A5="","",IF(OR(BE5="Closed",BE5="Accepted"),"No action",IF(BB5="","Set date identified",IF(TODAY()&gt;BC5,"Deadline exceeded",IF(BC5-TODAY()&lt;=Settings!$C$30,"Deadline approaching","On track")))))</f>
        <v/>
      </c>
      <c r="BG5" s="89" t="n"/>
      <c r="BH5" s="89" t="n"/>
      <c r="BI5" s="90">
        <f>IF(OR(BH5="",AW5=""),"",EDATE(BH5,INDEX(Settings!$F$20:$F$23,MATCH(AW5,Settings!$A$20:$A$23,0))))</f>
        <v/>
      </c>
      <c r="BJ5" s="21">
        <f>IF(T5="","",IF(MAX(IF(T5="",0,MATCH(T5,Settings!$A$20:$A$23,0)),IF(AV5="",0,MATCH(AV5,Settings!$A$20:$A$23,0)))&gt;=MATCH(Settings!$C$29,Settings!$A$20:$A$23,0),"Yes","No"))</f>
        <v/>
      </c>
      <c r="BK5" s="82" t="n"/>
      <c r="BL5" s="81">
        <f>IF(A5="","",IF(TRIM(IF(W5="","Treatment not chosen. ","")&amp;IF(AND(W5="Accept",AX5="No"),"Accepted outside appetite: record approval by "&amp;INDEX(Settings!$G$20:$G$23,MATCH(AW5,Settings!$A$20:$A$23,0))&amp;". ","")&amp;IF(AND(W5="Accept",BG5=""),"Acceptance expiry missing. ","")&amp;IF(AND(BG5&lt;&gt;"",BG5&lt;TODAY()),"Acceptance expired. ","")&amp;IF(AND(W5&lt;&gt;"",W5&lt;&gt;"Accept",AV5=""),"Target rating not set. ","")&amp;IF(AND(BE5="Closed",AX5="No"),"Closed while outside appetite. ","")&amp;IF(AND(W5="Transfer",BE5&lt;&gt;"Transferred",BE5&lt;&gt;"Closed"),"Transfer: record the contract, SLA and audit rights. ","")&amp;IF(AZ5="","Risk owner missing. ","")&amp;IF(K5="","Scenario not written. ",""))="","OK",TRIM(IF(W5="","Treatment not chosen. ","")&amp;IF(AND(W5="Accept",AX5="No"),"Accepted outside appetite: record approval by "&amp;INDEX(Settings!$G$20:$G$23,MATCH(AW5,Settings!$A$20:$A$23,0))&amp;". ","")&amp;IF(AND(W5="Accept",BG5=""),"Acceptance expiry missing. ","")&amp;IF(AND(BG5&lt;&gt;"",BG5&lt;TODAY()),"Acceptance expired. ","")&amp;IF(AND(W5&lt;&gt;"",W5&lt;&gt;"Accept",AV5=""),"Target rating not set. ","")&amp;IF(AND(BE5="Closed",AX5="No"),"Closed while outside appetite. ","")&amp;IF(AND(W5="Transfer",BE5&lt;&gt;"Transferred",BE5&lt;&gt;"Closed"),"Transfer: record the contract, SLA and audit rights. ","")&amp;IF(AZ5="","Risk owner missing. ","")&amp;IF(K5="","Scenario not written. ",""))))</f>
        <v/>
      </c>
      <c r="BM5" s="82" t="inlineStr">
        <is>
          <t>Wiki example ratings: likelihood High, impact Critical, residual Critical, priority 1.</t>
        </is>
      </c>
    </row>
    <row r="6" ht="105" customHeight="1">
      <c r="A6" s="91" t="inlineStr">
        <is>
          <t>AI-R02</t>
        </is>
      </c>
      <c r="B6" s="92" t="inlineStr">
        <is>
          <t>Shadow AI and Ungoverned AI Usage</t>
        </is>
      </c>
      <c r="C6" s="80" t="inlineStr">
        <is>
          <t>01</t>
        </is>
      </c>
      <c r="D6" s="81">
        <f>IF(C6="","",IFERROR(INDEX(Lists!$O$2:$O$13,MATCH(C6,Lists!$N$2:$N$13,0)),"Check domain code"))</f>
        <v/>
      </c>
      <c r="E6" s="81">
        <f>IF(C6="","",IFERROR(INDEX(Lists!$P$2:$P$13,MATCH(C6,Lists!$N$2:$N$13,0)),""))</f>
        <v/>
      </c>
      <c r="F6" s="80" t="n"/>
      <c r="G6" s="82" t="inlineStr">
        <is>
          <t>Enterprise-wide (all AI use)</t>
        </is>
      </c>
      <c r="H6" s="82" t="n"/>
      <c r="I6" s="82" t="n"/>
      <c r="J6" s="93" t="inlineStr">
        <is>
          <t>Unapproved AI use may occur through public AI sites, browser extensions, IDE plugins, SaaS features, APIs or desktop AI applications. Required controls include AI discovery, tool classification, allow/monitor/warn/block policy, endpoint visibility and reporting.</t>
        </is>
      </c>
      <c r="K6" s="82" t="n"/>
      <c r="L6" s="82" t="n"/>
      <c r="M6" s="94" t="inlineStr">
        <is>
          <t>D6</t>
        </is>
      </c>
      <c r="N6" s="21">
        <f>IF(COUNTIF(Triage!$E$6:$E$48,"Yes")+COUNTIF(Triage!$E$6:$E$48,"No")=0,"Not triaged",IF(SUMPRODUCT(COUNTIFS(Triage!$A$6:$A$48,{"D6"},Triage!$E$6:$E$48,"Yes"))&gt;0,"Applies","Not triggered"))</f>
        <v/>
      </c>
      <c r="O6" s="82" t="n"/>
      <c r="P6" s="85" t="n"/>
      <c r="Q6" s="85" t="n">
        <v>3</v>
      </c>
      <c r="R6" s="85" t="n">
        <v>3</v>
      </c>
      <c r="S6" s="21">
        <f>IF(OR(Q6="",R6=""),"",Q6*R6)</f>
        <v/>
      </c>
      <c r="T6" s="21">
        <f>IF(S6="","",INDEX(Settings!$A$20:$A$23,MATCH(S6,Settings!$B$20:$B$23,1)))</f>
        <v/>
      </c>
      <c r="U6" s="82" t="inlineStr">
        <is>
          <t>Qualitative (4 x 4)</t>
        </is>
      </c>
      <c r="V6" s="86" t="n"/>
      <c r="W6" s="85" t="n"/>
      <c r="X6" s="82" t="n"/>
      <c r="Y6" s="95" t="inlineStr">
        <is>
          <t>AI-CTRL-001, AI-CTRL-010, AI-CTRL-011, AI-CTRL-012, AI-CTRL-037, AI-CTRL-044</t>
        </is>
      </c>
      <c r="Z6" s="95" t="inlineStr">
        <is>
          <t>AI-CTRL-001, AI-CTRL-011, AI-CTRL-012</t>
        </is>
      </c>
      <c r="AA6" s="95" t="inlineStr">
        <is>
          <t>AI discovery; application risk classification; policy enforcement</t>
        </is>
      </c>
      <c r="AB6" s="95" t="inlineStr">
        <is>
          <t>AI inventory; shadow AI reports; user activity dashboard</t>
        </is>
      </c>
      <c r="AC6" s="95" t="inlineStr">
        <is>
          <t>A.2.2; A.2.3; A.2.4; A.3.2; A.4.2; A.4.6; A.5.2; A.9.2; A.9.4; Clause 6.1.2; Clause 6.1.3; Clause 7.2; Clause 7.3</t>
        </is>
      </c>
      <c r="AD6" s="95" t="inlineStr">
        <is>
          <t>A.5.1; A.5.2; A.5.4; A.5.8; A.5.9; A.5.10; A.5.12; A.6.2; A.6.3; A.6.4; A.8.1; A.8.12; A.8.16; A.8.23; Clause 6.1.2; Clause 6.1.3</t>
        </is>
      </c>
      <c r="AE6" s="95" t="inlineStr">
        <is>
          <t>GOVERN 1.2; GOVERN 1.3; GOVERN 1.4; GOVERN 1.6; GOVERN 1.7; GOVERN 2.1; GOVERN 2.2; GOVERN 6.1; MANAGE 1.2; MANAGE 1.3; MANAGE 1.4; MAP 1.1; MAP 1.5; MAP 3.4</t>
        </is>
      </c>
      <c r="AF6" s="95" t="inlineStr">
        <is>
          <t>LLM02:2025; LLM03:2025</t>
        </is>
      </c>
      <c r="AG6" s="95" t="inlineStr">
        <is>
          <t>AML.T0057</t>
        </is>
      </c>
      <c r="AH6" s="95" t="inlineStr">
        <is>
          <t>None seen</t>
        </is>
      </c>
      <c r="AI6" s="95" t="inlineStr">
        <is>
          <t>DE.CM; GV.PO; GV.RM; GV.RR; ID.AM; ID.RA; PR.AT; PR.DS</t>
        </is>
      </c>
      <c r="AJ6" s="96" t="inlineStr">
        <is>
          <t>CIS 1; CIS 2; CIS 3; CIS 9; CIS 14</t>
        </is>
      </c>
      <c r="AK6" s="95" t="inlineStr">
        <is>
          <t>CC1.3; CC1.4; CC2.2; CC3.1; CC3.2; CC5.3; CC6.7; CC6.8; CC7.2; CC9.1</t>
        </is>
      </c>
      <c r="AL6" s="95" t="inlineStr">
        <is>
          <t>None</t>
        </is>
      </c>
      <c r="AM6" s="95" t="inlineStr">
        <is>
          <t>01 Governance and oversight; 01 Policy and standards; 07 MLOps and deployment</t>
        </is>
      </c>
      <c r="AN6" s="95" t="inlineStr">
        <is>
          <t>MCP09:2025</t>
        </is>
      </c>
      <c r="AO6" s="95" t="inlineStr">
        <is>
          <t>OECD AI Principles: Principle 1.1, Principle 1.5; EU Ethics Guidelines: Accountability; UNESCO Recommendation: Proportionality and do no harm, Multi-stakeholder and adaptive governance ..., Responsibility and accountability, Awareness and literacy; Council of Europe AI Convention: Art. 9, Art. 16, Art. 20; G7 Hiroshima Code: Action 1, Action 5</t>
        </is>
      </c>
      <c r="AP6" s="95" t="inlineStr">
        <is>
          <t>GCC: U3, U4, U6, U9, U12, S2, S3, S5, Q3, Q4, B2, O1; EU: E1a, E1b, E1c, E8, E12, E14, E17; UK: UK1, UK5, UK6, UK11, UK13; US: US5, US6, US8, US9, US12, US14, US15, US16; Australia: AU1, AU4, AU7; Brazil: BR1, BR3; Canada: CA4, CA5, CA6, CA8; China: CN1, CN2, CN5; India: IN4, IN5, IN6, IN7, IN8, IN13; Japan: JP1, JP2, JP3, JP6; Singapore: SG1, SG2, SG5, MAS 1.6, 2.1 to 2.2, MAS 2.3 to 2.5, MAS 3.1 to 3.4, MAS 3.5, MAS 1.5, 3.6, MAS 4.2 to 4.4, MAS 4.5 to 4.9, MAS 4.10 to 4.13, MAS 5.26, MAS 6.1 to 6.2; South: KR3, KR4, KR5, KR6</t>
        </is>
      </c>
      <c r="AQ6" s="96" t="n">
        <v>196</v>
      </c>
      <c r="AR6" s="96" t="n">
        <v>91</v>
      </c>
      <c r="AS6" s="85" t="n"/>
      <c r="AT6" s="85" t="n"/>
      <c r="AU6" s="21">
        <f>IF(OR(AS6="",AT6=""),"",AS6*AT6)</f>
        <v/>
      </c>
      <c r="AV6" s="21">
        <f>IF(AU6="","",INDEX(Settings!$A$20:$A$23,MATCH(AU6,Settings!$B$20:$B$23,1)))</f>
        <v/>
      </c>
      <c r="AW6" s="21">
        <f>IF(AV6&lt;&gt;"",AV6,T6)</f>
        <v/>
      </c>
      <c r="AX6" s="21">
        <f>IF(AW6="","",IF(MATCH(AW6,Settings!$A$20:$A$23,0)&lt;=MATCH(Settings!$C$28,Settings!$A$20:$A$23,0),"Yes","No"))</f>
        <v/>
      </c>
      <c r="AY6" s="81">
        <f>IF(AW6="","",IF(AX6="Yes",INDEX(Settings!$G$20:$G$23,MATCH(AW6,Settings!$A$20:$A$23,0)),INDEX(Settings!$G$20:$G$23,MATCH(AW6,Settings!$A$20:$A$23,0))&amp;" (outside appetite)"))</f>
        <v/>
      </c>
      <c r="AZ6" s="82" t="n"/>
      <c r="BA6" s="82" t="n"/>
      <c r="BB6" s="89" t="n"/>
      <c r="BC6" s="90">
        <f>IF(OR(BB6="",T6=""),"",BB6+INDEX(Settings!$E$20:$E$23,MATCH(T6,Settings!$A$20:$A$23,0)))</f>
        <v/>
      </c>
      <c r="BD6" s="89" t="n"/>
      <c r="BE6" s="82" t="n"/>
      <c r="BF6" s="81">
        <f>IF(A6="","",IF(OR(BE6="Closed",BE6="Accepted"),"No action",IF(BB6="","Set date identified",IF(TODAY()&gt;BC6,"Deadline exceeded",IF(BC6-TODAY()&lt;=Settings!$C$30,"Deadline approaching","On track")))))</f>
        <v/>
      </c>
      <c r="BG6" s="89" t="n"/>
      <c r="BH6" s="89" t="n"/>
      <c r="BI6" s="90">
        <f>IF(OR(BH6="",AW6=""),"",EDATE(BH6,INDEX(Settings!$F$20:$F$23,MATCH(AW6,Settings!$A$20:$A$23,0))))</f>
        <v/>
      </c>
      <c r="BJ6" s="21">
        <f>IF(T6="","",IF(MAX(IF(T6="",0,MATCH(T6,Settings!$A$20:$A$23,0)),IF(AV6="",0,MATCH(AV6,Settings!$A$20:$A$23,0)))&gt;=MATCH(Settings!$C$29,Settings!$A$20:$A$23,0),"Yes","No"))</f>
        <v/>
      </c>
      <c r="BK6" s="82" t="n"/>
      <c r="BL6" s="81">
        <f>IF(A6="","",IF(TRIM(IF(W6="","Treatment not chosen. ","")&amp;IF(AND(W6="Accept",AX6="No"),"Accepted outside appetite: record approval by "&amp;INDEX(Settings!$G$20:$G$23,MATCH(AW6,Settings!$A$20:$A$23,0))&amp;". ","")&amp;IF(AND(W6="Accept",BG6=""),"Acceptance expiry missing. ","")&amp;IF(AND(BG6&lt;&gt;"",BG6&lt;TODAY()),"Acceptance expired. ","")&amp;IF(AND(W6&lt;&gt;"",W6&lt;&gt;"Accept",AV6=""),"Target rating not set. ","")&amp;IF(AND(BE6="Closed",AX6="No"),"Closed while outside appetite. ","")&amp;IF(AND(W6="Transfer",BE6&lt;&gt;"Transferred",BE6&lt;&gt;"Closed"),"Transfer: record the contract, SLA and audit rights. ","")&amp;IF(AZ6="","Risk owner missing. ","")&amp;IF(K6="","Scenario not written. ",""))="","OK",TRIM(IF(W6="","Treatment not chosen. ","")&amp;IF(AND(W6="Accept",AX6="No"),"Accepted outside appetite: record approval by "&amp;INDEX(Settings!$G$20:$G$23,MATCH(AW6,Settings!$A$20:$A$23,0))&amp;". ","")&amp;IF(AND(W6="Accept",BG6=""),"Acceptance expiry missing. ","")&amp;IF(AND(BG6&lt;&gt;"",BG6&lt;TODAY()),"Acceptance expired. ","")&amp;IF(AND(W6&lt;&gt;"",W6&lt;&gt;"Accept",AV6=""),"Target rating not set. ","")&amp;IF(AND(BE6="Closed",AX6="No"),"Closed while outside appetite. ","")&amp;IF(AND(W6="Transfer",BE6&lt;&gt;"Transferred",BE6&lt;&gt;"Closed"),"Transfer: record the contract, SLA and audit rights. ","")&amp;IF(AZ6="","Risk owner missing. ","")&amp;IF(K6="","Scenario not written. ",""))))</f>
        <v/>
      </c>
      <c r="BM6" s="82" t="inlineStr">
        <is>
          <t>Wiki example ratings: likelihood High, impact High, residual High, priority 2.</t>
        </is>
      </c>
    </row>
    <row r="7" ht="105" customHeight="1">
      <c r="A7" s="78" t="inlineStr">
        <is>
          <t>AI-R03</t>
        </is>
      </c>
      <c r="B7" s="79" t="inlineStr">
        <is>
          <t>Sensitive Data Leakage Through Prompts and Uploads</t>
        </is>
      </c>
      <c r="C7" s="80" t="inlineStr">
        <is>
          <t>03</t>
        </is>
      </c>
      <c r="D7" s="81">
        <f>IF(C7="","",IFERROR(INDEX(Lists!$O$2:$O$13,MATCH(C7,Lists!$N$2:$N$13,0)),"Check domain code"))</f>
        <v/>
      </c>
      <c r="E7" s="81">
        <f>IF(C7="","",IFERROR(INDEX(Lists!$P$2:$P$13,MATCH(C7,Lists!$N$2:$N$13,0)),""))</f>
        <v/>
      </c>
      <c r="F7" s="80" t="n"/>
      <c r="G7" s="82" t="inlineStr">
        <is>
          <t>Enterprise-wide (all AI use)</t>
        </is>
      </c>
      <c r="H7" s="82" t="n"/>
      <c r="I7" s="82" t="n"/>
      <c r="J7" s="83" t="inlineStr">
        <is>
          <t>AI interactions can contain confidential data, personal data, credentials, source code, logs and business documents. Required controls include sensitive data detection, redaction/masking/warning/blocking and evidence generation.</t>
        </is>
      </c>
      <c r="K7" s="82" t="n"/>
      <c r="L7" s="82" t="n"/>
      <c r="M7" s="84" t="inlineStr">
        <is>
          <t>B1; B2</t>
        </is>
      </c>
      <c r="N7" s="21">
        <f>IF(COUNTIF(Triage!$E$6:$E$48,"Yes")+COUNTIF(Triage!$E$6:$E$48,"No")=0,"Not triaged",IF(SUMPRODUCT(COUNTIFS(Triage!$A$6:$A$48,{"B1","B2"},Triage!$E$6:$E$48,"Yes"))&gt;0,"Applies","Not triggered"))</f>
        <v/>
      </c>
      <c r="O7" s="82" t="n"/>
      <c r="P7" s="85" t="n"/>
      <c r="Q7" s="85" t="n">
        <v>3</v>
      </c>
      <c r="R7" s="85" t="n">
        <v>4</v>
      </c>
      <c r="S7" s="21">
        <f>IF(OR(Q7="",R7=""),"",Q7*R7)</f>
        <v/>
      </c>
      <c r="T7" s="21">
        <f>IF(S7="","",INDEX(Settings!$A$20:$A$23,MATCH(S7,Settings!$B$20:$B$23,1)))</f>
        <v/>
      </c>
      <c r="U7" s="82" t="inlineStr">
        <is>
          <t>Qualitative (4 x 4)</t>
        </is>
      </c>
      <c r="V7" s="86" t="n"/>
      <c r="W7" s="85" t="n"/>
      <c r="X7" s="82" t="n"/>
      <c r="Y7" s="87" t="inlineStr">
        <is>
          <t>AI-CTRL-002, AI-CTRL-003, AI-CTRL-010, AI-CTRL-012, AI-CTRL-013, AI-CTRL-017, AI-CTRL-021</t>
        </is>
      </c>
      <c r="Z7" s="87" t="inlineStr">
        <is>
          <t>AI-CTRL-002, AI-CTRL-012, AI-CTRL-013, AI-CTRL-017</t>
        </is>
      </c>
      <c r="AA7" s="87" t="inlineStr">
        <is>
          <t>Sensitive data detection; redaction; block/warn policy</t>
        </is>
      </c>
      <c r="AB7" s="87" t="inlineStr">
        <is>
          <t>DLP events; AI prompt detections; policy screenshots</t>
        </is>
      </c>
      <c r="AC7" s="87" t="inlineStr">
        <is>
          <t>A.2.2; A.2.3; A.2.4; A.3.2; A.4.3; A.5.2; A.5.3; A.5.4; A.6.2.4; A.7.6; A.9.2</t>
        </is>
      </c>
      <c r="AD7" s="87" t="inlineStr">
        <is>
          <t>A.5.1; A.5.2; A.5.4; A.5.10; A.5.12; A.5.13; A.5.14; A.5.31; A.5.34; A.6.2; A.6.4; A.8.1; A.8.7; A.8.10; A.8.11; A.8.12; A.8.23; A.8.24; A.8.26; A.8.33</t>
        </is>
      </c>
      <c r="AE7" s="87" t="inlineStr">
        <is>
          <t>GOVERN 1.1; GOVERN 1.2; GOVERN 1.4; GOVERN 2.1; GOVERN 2.2; MANAGE 1.3; MANAGE 4.1; MAP 5.1; MEASURE 2.7; MEASURE 2.10</t>
        </is>
      </c>
      <c r="AF7" s="87" t="inlineStr">
        <is>
          <t>LLM01:2025; LLM02:2025</t>
        </is>
      </c>
      <c r="AG7" s="87" t="inlineStr">
        <is>
          <t>AML.T0025; AML.T0051; AML.T0057; AML.T0085; AML.T0088; AML.T0129</t>
        </is>
      </c>
      <c r="AH7" s="87" t="inlineStr">
        <is>
          <t>AIR-RC-001</t>
        </is>
      </c>
      <c r="AI7" s="87" t="inlineStr">
        <is>
          <t>DE.CM; GV.OC; GV.PO; GV.RR; ID.AM; PR.DS</t>
        </is>
      </c>
      <c r="AJ7" s="88" t="inlineStr">
        <is>
          <t>CIS 3; CIS 9; CIS 10</t>
        </is>
      </c>
      <c r="AK7" s="87" t="inlineStr">
        <is>
          <t>C1.1; C1.2; CC1.3; CC2.2; CC5.3; CC6.1; CC6.7; CC6.8; P1.1; P3.1; P4.1; P4.2; P5.1</t>
        </is>
      </c>
      <c r="AL7" s="87" t="inlineStr">
        <is>
          <t>Data Privacy</t>
        </is>
      </c>
      <c r="AM7" s="87" t="inlineStr">
        <is>
          <t>03 Privacy and consent</t>
        </is>
      </c>
      <c r="AN7" s="87" t="inlineStr">
        <is>
          <t>None</t>
        </is>
      </c>
      <c r="AO7" s="87" t="inlineStr">
        <is>
          <t>OECD AI Principles: Principle 1.2, Principle 1.3, Principle 1.5; EU Ethics Guidelines: Privacy and data governance, Accountability; UNESCO Recommendation: Right to privacy and data protection, Multi-stakeholder and adaptive governance ..., Responsibility and accountability; IEEE 7000-series: IEEE 7002-2022; Council of Europe AI Convention: Art. 9, Art. 11; G7 Hiroshima Code: Action 5, Action 11</t>
        </is>
      </c>
      <c r="AP7" s="87" t="inlineStr">
        <is>
          <t>GCC: U1, U3, U4, U5, U6, U7, U12, S1, S2, S3, Q1, Q3, B1, B2, O2; EU: E1a, E1b, E1c, E2, E3, E4, E12, E17; UK: UK1, UK2, UK3, UK4, UK5, UK13; US: US5, US8, US9, US12, US14, US15, US17; Australia: AU1, AU2, AU3, AU3a, AU4, AU7; Brazil: BR2, BR3; Canada: CA2, CA3, CA5, CA7, CA8; China: CN1, CN2, CN5, CN7, CN9; India: IN1, IN2, IN3, IN4, IN11, IN13; Japan: JP1, JP2, JP3, JP4; Singapore: SG1, SG4, SG5, MAS 2.3 to 2.5, MAS 3.1 to 3.4, MAS 3.5, MAS 1.5, 3.6, MAS 5.4; South: KR5, KR6, KR7</t>
        </is>
      </c>
      <c r="AQ7" s="88" t="n">
        <v>216</v>
      </c>
      <c r="AR7" s="88" t="n">
        <v>148</v>
      </c>
      <c r="AS7" s="85" t="n"/>
      <c r="AT7" s="85" t="n"/>
      <c r="AU7" s="21">
        <f>IF(OR(AS7="",AT7=""),"",AS7*AT7)</f>
        <v/>
      </c>
      <c r="AV7" s="21">
        <f>IF(AU7="","",INDEX(Settings!$A$20:$A$23,MATCH(AU7,Settings!$B$20:$B$23,1)))</f>
        <v/>
      </c>
      <c r="AW7" s="21">
        <f>IF(AV7&lt;&gt;"",AV7,T7)</f>
        <v/>
      </c>
      <c r="AX7" s="21">
        <f>IF(AW7="","",IF(MATCH(AW7,Settings!$A$20:$A$23,0)&lt;=MATCH(Settings!$C$28,Settings!$A$20:$A$23,0),"Yes","No"))</f>
        <v/>
      </c>
      <c r="AY7" s="81">
        <f>IF(AW7="","",IF(AX7="Yes",INDEX(Settings!$G$20:$G$23,MATCH(AW7,Settings!$A$20:$A$23,0)),INDEX(Settings!$G$20:$G$23,MATCH(AW7,Settings!$A$20:$A$23,0))&amp;" (outside appetite)"))</f>
        <v/>
      </c>
      <c r="AZ7" s="82" t="n"/>
      <c r="BA7" s="82" t="n"/>
      <c r="BB7" s="89" t="n"/>
      <c r="BC7" s="90">
        <f>IF(OR(BB7="",T7=""),"",BB7+INDEX(Settings!$E$20:$E$23,MATCH(T7,Settings!$A$20:$A$23,0)))</f>
        <v/>
      </c>
      <c r="BD7" s="89" t="n"/>
      <c r="BE7" s="82" t="n"/>
      <c r="BF7" s="81">
        <f>IF(A7="","",IF(OR(BE7="Closed",BE7="Accepted"),"No action",IF(BB7="","Set date identified",IF(TODAY()&gt;BC7,"Deadline exceeded",IF(BC7-TODAY()&lt;=Settings!$C$30,"Deadline approaching","On track")))))</f>
        <v/>
      </c>
      <c r="BG7" s="89" t="n"/>
      <c r="BH7" s="89" t="n"/>
      <c r="BI7" s="90">
        <f>IF(OR(BH7="",AW7=""),"",EDATE(BH7,INDEX(Settings!$F$20:$F$23,MATCH(AW7,Settings!$A$20:$A$23,0))))</f>
        <v/>
      </c>
      <c r="BJ7" s="21">
        <f>IF(T7="","",IF(MAX(IF(T7="",0,MATCH(T7,Settings!$A$20:$A$23,0)),IF(AV7="",0,MATCH(AV7,Settings!$A$20:$A$23,0)))&gt;=MATCH(Settings!$C$29,Settings!$A$20:$A$23,0),"Yes","No"))</f>
        <v/>
      </c>
      <c r="BK7" s="82" t="n"/>
      <c r="BL7" s="81">
        <f>IF(A7="","",IF(TRIM(IF(W7="","Treatment not chosen. ","")&amp;IF(AND(W7="Accept",AX7="No"),"Accepted outside appetite: record approval by "&amp;INDEX(Settings!$G$20:$G$23,MATCH(AW7,Settings!$A$20:$A$23,0))&amp;". ","")&amp;IF(AND(W7="Accept",BG7=""),"Acceptance expiry missing. ","")&amp;IF(AND(BG7&lt;&gt;"",BG7&lt;TODAY()),"Acceptance expired. ","")&amp;IF(AND(W7&lt;&gt;"",W7&lt;&gt;"Accept",AV7=""),"Target rating not set. ","")&amp;IF(AND(BE7="Closed",AX7="No"),"Closed while outside appetite. ","")&amp;IF(AND(W7="Transfer",BE7&lt;&gt;"Transferred",BE7&lt;&gt;"Closed"),"Transfer: record the contract, SLA and audit rights. ","")&amp;IF(AZ7="","Risk owner missing. ","")&amp;IF(K7="","Scenario not written. ",""))="","OK",TRIM(IF(W7="","Treatment not chosen. ","")&amp;IF(AND(W7="Accept",AX7="No"),"Accepted outside appetite: record approval by "&amp;INDEX(Settings!$G$20:$G$23,MATCH(AW7,Settings!$A$20:$A$23,0))&amp;". ","")&amp;IF(AND(W7="Accept",BG7=""),"Acceptance expiry missing. ","")&amp;IF(AND(BG7&lt;&gt;"",BG7&lt;TODAY()),"Acceptance expired. ","")&amp;IF(AND(W7&lt;&gt;"",W7&lt;&gt;"Accept",AV7=""),"Target rating not set. ","")&amp;IF(AND(BE7="Closed",AX7="No"),"Closed while outside appetite. ","")&amp;IF(AND(W7="Transfer",BE7&lt;&gt;"Transferred",BE7&lt;&gt;"Closed"),"Transfer: record the contract, SLA and audit rights. ","")&amp;IF(AZ7="","Risk owner missing. ","")&amp;IF(K7="","Scenario not written. ",""))))</f>
        <v/>
      </c>
      <c r="BM7" s="82" t="inlineStr">
        <is>
          <t>Wiki example ratings: likelihood High, impact Critical, residual High, priority 3.</t>
        </is>
      </c>
    </row>
    <row r="8" ht="105" customHeight="1">
      <c r="A8" s="91" t="inlineStr">
        <is>
          <t>AI-R04</t>
        </is>
      </c>
      <c r="B8" s="92" t="inlineStr">
        <is>
          <t>IDE-Based Source Code and Credential Exposure</t>
        </is>
      </c>
      <c r="C8" s="80" t="inlineStr">
        <is>
          <t>03</t>
        </is>
      </c>
      <c r="D8" s="81">
        <f>IF(C8="","",IFERROR(INDEX(Lists!$O$2:$O$13,MATCH(C8,Lists!$N$2:$N$13,0)),"Check domain code"))</f>
        <v/>
      </c>
      <c r="E8" s="81">
        <f>IF(C8="","",IFERROR(INDEX(Lists!$P$2:$P$13,MATCH(C8,Lists!$N$2:$N$13,0)),""))</f>
        <v/>
      </c>
      <c r="F8" s="80" t="n"/>
      <c r="G8" s="82" t="inlineStr">
        <is>
          <t>Enterprise-wide (all AI use)</t>
        </is>
      </c>
      <c r="H8" s="82" t="n"/>
      <c r="I8" s="82" t="n"/>
      <c r="J8" s="93" t="inlineStr">
        <is>
          <t>AI coding assistants can expose source code, API keys, internal URLs, infrastructure-as-code and application logic. Required controls include IDE visibility, secret detection, source code protection and developer governance.</t>
        </is>
      </c>
      <c r="K8" s="82" t="n"/>
      <c r="L8" s="82" t="n"/>
      <c r="M8" s="94" t="inlineStr">
        <is>
          <t>A5</t>
        </is>
      </c>
      <c r="N8" s="21">
        <f>IF(COUNTIF(Triage!$E$6:$E$48,"Yes")+COUNTIF(Triage!$E$6:$E$48,"No")=0,"Not triaged",IF(SUMPRODUCT(COUNTIFS(Triage!$A$6:$A$48,{"A5"},Triage!$E$6:$E$48,"Yes"))&gt;0,"Applies","Not triggered"))</f>
        <v/>
      </c>
      <c r="O8" s="82" t="n"/>
      <c r="P8" s="85" t="n"/>
      <c r="Q8" s="85" t="n">
        <v>3</v>
      </c>
      <c r="R8" s="85" t="n">
        <v>3</v>
      </c>
      <c r="S8" s="21">
        <f>IF(OR(Q8="",R8=""),"",Q8*R8)</f>
        <v/>
      </c>
      <c r="T8" s="21">
        <f>IF(S8="","",INDEX(Settings!$A$20:$A$23,MATCH(S8,Settings!$B$20:$B$23,1)))</f>
        <v/>
      </c>
      <c r="U8" s="82" t="inlineStr">
        <is>
          <t>Qualitative (4 x 4)</t>
        </is>
      </c>
      <c r="V8" s="86" t="n"/>
      <c r="W8" s="85" t="n"/>
      <c r="X8" s="82" t="n"/>
      <c r="Y8" s="95" t="inlineStr">
        <is>
          <t>AI-CTRL-004</t>
        </is>
      </c>
      <c r="Z8" s="95" t="inlineStr">
        <is>
          <t>None (all Advanced)</t>
        </is>
      </c>
      <c r="AA8" s="95" t="inlineStr">
        <is>
          <t>IDE discovery; source code protection; secret detection</t>
        </is>
      </c>
      <c r="AB8" s="95" t="inlineStr">
        <is>
          <t>IDE inventory; secret detection log; developer policy evidence</t>
        </is>
      </c>
      <c r="AC8" s="95" t="inlineStr">
        <is>
          <t>A.4.4; A.9.2</t>
        </is>
      </c>
      <c r="AD8" s="95" t="inlineStr">
        <is>
          <t>A.8.1; A.8.4; A.8.12; A.8.28</t>
        </is>
      </c>
      <c r="AE8" s="95" t="inlineStr">
        <is>
          <t>GOVERN 6.1; MANAGE 4.1; MEASURE 2.10</t>
        </is>
      </c>
      <c r="AF8" s="95" t="inlineStr">
        <is>
          <t>LLM02:2025; LLM03:2025</t>
        </is>
      </c>
      <c r="AG8" s="95" t="inlineStr">
        <is>
          <t>AML.T0055; AML.T0057</t>
        </is>
      </c>
      <c r="AH8" s="95" t="inlineStr">
        <is>
          <t>AIR-RC-001</t>
        </is>
      </c>
      <c r="AI8" s="95" t="inlineStr">
        <is>
          <t>PR.DS; PR.PS</t>
        </is>
      </c>
      <c r="AJ8" s="96" t="inlineStr">
        <is>
          <t>CIS 3; CIS 16</t>
        </is>
      </c>
      <c r="AK8" s="95" t="inlineStr">
        <is>
          <t>CC6.7; CC8.1</t>
        </is>
      </c>
      <c r="AL8" s="95" t="inlineStr">
        <is>
          <t>None</t>
        </is>
      </c>
      <c r="AM8" s="95" t="inlineStr">
        <is>
          <t>None</t>
        </is>
      </c>
      <c r="AN8" s="95" t="inlineStr">
        <is>
          <t>None</t>
        </is>
      </c>
      <c r="AO8" s="95" t="inlineStr">
        <is>
          <t>None</t>
        </is>
      </c>
      <c r="AP8" s="95" t="inlineStr">
        <is>
          <t>None</t>
        </is>
      </c>
      <c r="AQ8" s="96" t="n">
        <v>24</v>
      </c>
      <c r="AR8" s="96" t="n">
        <v>19</v>
      </c>
      <c r="AS8" s="85" t="n"/>
      <c r="AT8" s="85" t="n"/>
      <c r="AU8" s="21">
        <f>IF(OR(AS8="",AT8=""),"",AS8*AT8)</f>
        <v/>
      </c>
      <c r="AV8" s="21">
        <f>IF(AU8="","",INDEX(Settings!$A$20:$A$23,MATCH(AU8,Settings!$B$20:$B$23,1)))</f>
        <v/>
      </c>
      <c r="AW8" s="21">
        <f>IF(AV8&lt;&gt;"",AV8,T8)</f>
        <v/>
      </c>
      <c r="AX8" s="21">
        <f>IF(AW8="","",IF(MATCH(AW8,Settings!$A$20:$A$23,0)&lt;=MATCH(Settings!$C$28,Settings!$A$20:$A$23,0),"Yes","No"))</f>
        <v/>
      </c>
      <c r="AY8" s="81">
        <f>IF(AW8="","",IF(AX8="Yes",INDEX(Settings!$G$20:$G$23,MATCH(AW8,Settings!$A$20:$A$23,0)),INDEX(Settings!$G$20:$G$23,MATCH(AW8,Settings!$A$20:$A$23,0))&amp;" (outside appetite)"))</f>
        <v/>
      </c>
      <c r="AZ8" s="82" t="n"/>
      <c r="BA8" s="82" t="n"/>
      <c r="BB8" s="89" t="n"/>
      <c r="BC8" s="90">
        <f>IF(OR(BB8="",T8=""),"",BB8+INDEX(Settings!$E$20:$E$23,MATCH(T8,Settings!$A$20:$A$23,0)))</f>
        <v/>
      </c>
      <c r="BD8" s="89" t="n"/>
      <c r="BE8" s="82" t="n"/>
      <c r="BF8" s="81">
        <f>IF(A8="","",IF(OR(BE8="Closed",BE8="Accepted"),"No action",IF(BB8="","Set date identified",IF(TODAY()&gt;BC8,"Deadline exceeded",IF(BC8-TODAY()&lt;=Settings!$C$30,"Deadline approaching","On track")))))</f>
        <v/>
      </c>
      <c r="BG8" s="89" t="n"/>
      <c r="BH8" s="89" t="n"/>
      <c r="BI8" s="90">
        <f>IF(OR(BH8="",AW8=""),"",EDATE(BH8,INDEX(Settings!$F$20:$F$23,MATCH(AW8,Settings!$A$20:$A$23,0))))</f>
        <v/>
      </c>
      <c r="BJ8" s="21">
        <f>IF(T8="","",IF(MAX(IF(T8="",0,MATCH(T8,Settings!$A$20:$A$23,0)),IF(AV8="",0,MATCH(AV8,Settings!$A$20:$A$23,0)))&gt;=MATCH(Settings!$C$29,Settings!$A$20:$A$23,0),"Yes","No"))</f>
        <v/>
      </c>
      <c r="BK8" s="82" t="n"/>
      <c r="BL8" s="81">
        <f>IF(A8="","",IF(TRIM(IF(W8="","Treatment not chosen. ","")&amp;IF(AND(W8="Accept",AX8="No"),"Accepted outside appetite: record approval by "&amp;INDEX(Settings!$G$20:$G$23,MATCH(AW8,Settings!$A$20:$A$23,0))&amp;". ","")&amp;IF(AND(W8="Accept",BG8=""),"Acceptance expiry missing. ","")&amp;IF(AND(BG8&lt;&gt;"",BG8&lt;TODAY()),"Acceptance expired. ","")&amp;IF(AND(W8&lt;&gt;"",W8&lt;&gt;"Accept",AV8=""),"Target rating not set. ","")&amp;IF(AND(BE8="Closed",AX8="No"),"Closed while outside appetite. ","")&amp;IF(AND(W8="Transfer",BE8&lt;&gt;"Transferred",BE8&lt;&gt;"Closed"),"Transfer: record the contract, SLA and audit rights. ","")&amp;IF(AZ8="","Risk owner missing. ","")&amp;IF(K8="","Scenario not written. ",""))="","OK",TRIM(IF(W8="","Treatment not chosen. ","")&amp;IF(AND(W8="Accept",AX8="No"),"Accepted outside appetite: record approval by "&amp;INDEX(Settings!$G$20:$G$23,MATCH(AW8,Settings!$A$20:$A$23,0))&amp;". ","")&amp;IF(AND(W8="Accept",BG8=""),"Acceptance expiry missing. ","")&amp;IF(AND(BG8&lt;&gt;"",BG8&lt;TODAY()),"Acceptance expired. ","")&amp;IF(AND(W8&lt;&gt;"",W8&lt;&gt;"Accept",AV8=""),"Target rating not set. ","")&amp;IF(AND(BE8="Closed",AX8="No"),"Closed while outside appetite. ","")&amp;IF(AND(W8="Transfer",BE8&lt;&gt;"Transferred",BE8&lt;&gt;"Closed"),"Transfer: record the contract, SLA and audit rights. ","")&amp;IF(AZ8="","Risk owner missing. ","")&amp;IF(K8="","Scenario not written. ",""))))</f>
        <v/>
      </c>
      <c r="BM8" s="82" t="inlineStr">
        <is>
          <t>Wiki example ratings: likelihood Medium-High, impact High, residual High, priority 4. "Medium-High" likelihood mapped to 3 (High).</t>
        </is>
      </c>
    </row>
    <row r="9" ht="105" customHeight="1">
      <c r="A9" s="78" t="inlineStr">
        <is>
          <t>AI-R05</t>
        </is>
      </c>
      <c r="B9" s="79" t="inlineStr">
        <is>
          <t>Prompt Injection Against Custom AI Applications</t>
        </is>
      </c>
      <c r="C9" s="80" t="inlineStr">
        <is>
          <t>05</t>
        </is>
      </c>
      <c r="D9" s="81">
        <f>IF(C9="","",IFERROR(INDEX(Lists!$O$2:$O$13,MATCH(C9,Lists!$N$2:$N$13,0)),"Check domain code"))</f>
        <v/>
      </c>
      <c r="E9" s="81">
        <f>IF(C9="","",IFERROR(INDEX(Lists!$P$2:$P$13,MATCH(C9,Lists!$N$2:$N$13,0)),""))</f>
        <v/>
      </c>
      <c r="F9" s="80" t="n"/>
      <c r="G9" s="82" t="inlineStr">
        <is>
          <t>Enterprise-wide (all AI use)</t>
        </is>
      </c>
      <c r="H9" s="82" t="n"/>
      <c r="I9" s="82" t="n"/>
      <c r="J9" s="83" t="inlineStr">
        <is>
          <t>Custom AI applications, RAG systems and internal chatbots can be manipulated through direct or indirect prompt injection. Required controls include runtime inspection, RAG security validation, guardrails and output filtering.</t>
        </is>
      </c>
      <c r="K9" s="82" t="n"/>
      <c r="L9" s="82" t="n"/>
      <c r="M9" s="84" t="inlineStr">
        <is>
          <t>A6; B5; C2</t>
        </is>
      </c>
      <c r="N9" s="21">
        <f>IF(COUNTIF(Triage!$E$6:$E$48,"Yes")+COUNTIF(Triage!$E$6:$E$48,"No")=0,"Not triaged",IF(SUMPRODUCT(COUNTIFS(Triage!$A$6:$A$48,{"A6","B5","C2"},Triage!$E$6:$E$48,"Yes"))&gt;0,"Applies","Not triggered"))</f>
        <v/>
      </c>
      <c r="O9" s="82" t="n"/>
      <c r="P9" s="85" t="n"/>
      <c r="Q9" s="85" t="n">
        <v>2</v>
      </c>
      <c r="R9" s="85" t="n">
        <v>4</v>
      </c>
      <c r="S9" s="21">
        <f>IF(OR(Q9="",R9=""),"",Q9*R9)</f>
        <v/>
      </c>
      <c r="T9" s="21">
        <f>IF(S9="","",INDEX(Settings!$A$20:$A$23,MATCH(S9,Settings!$B$20:$B$23,1)))</f>
        <v/>
      </c>
      <c r="U9" s="82" t="inlineStr">
        <is>
          <t>Qualitative (4 x 4)</t>
        </is>
      </c>
      <c r="V9" s="86" t="n"/>
      <c r="W9" s="85" t="n"/>
      <c r="X9" s="82" t="n"/>
      <c r="Y9" s="87" t="inlineStr">
        <is>
          <t>AI-CTRL-005, AI-CTRL-019, AI-CTRL-020, AI-CTRL-021, AI-CTRL-026, AI-CTRL-033, AI-CTRL-034</t>
        </is>
      </c>
      <c r="Z9" s="87" t="inlineStr">
        <is>
          <t>AI-CTRL-005, AI-CTRL-020, AI-CTRL-033</t>
        </is>
      </c>
      <c r="AA9" s="87" t="inlineStr">
        <is>
          <t>Prompt injection detection; runtime inspection; RAG validation</t>
        </is>
      </c>
      <c r="AB9" s="87" t="inlineStr">
        <is>
          <t>Red team report; runtime logs; guardrail evidence</t>
        </is>
      </c>
      <c r="AC9" s="87" t="inlineStr">
        <is>
          <t>A.5.2; A.6.1.2; A.6.1.3; A.6.2.2; A.6.2.4; A.6.2.5; A.6.2.6; A.7.3; A.7.4; A.7.5</t>
        </is>
      </c>
      <c r="AD9" s="87" t="inlineStr">
        <is>
          <t>A.5.7; A.5.8; A.8.3; A.8.7; A.8.8; A.8.12; A.8.16; A.8.25; A.8.26; A.8.27; A.8.28; A.8.29; A.8.32; A.8.34</t>
        </is>
      </c>
      <c r="AE9" s="87" t="inlineStr">
        <is>
          <t>GOVERN 4.2; GOVERN 4.3; MANAGE 1.1; MANAGE 1.3; MAP 2.3; MEASURE 2.1; MEASURE 2.6; MEASURE 2.7; MEASURE 2.10</t>
        </is>
      </c>
      <c r="AF9" s="87" t="inlineStr">
        <is>
          <t>ASI01; ASI06; LLM01:2025; LLM02:2025; LLM03:2025; LLM04:2025; LLM05:2025; LLM06:2025; LLM07:2025; LLM08:2025; LLM09:2025; LLM10:2025</t>
        </is>
      </c>
      <c r="AG9" s="87" t="inlineStr">
        <is>
          <t>AML.T0051; AML.T0054; AML.T0056; AML.T0057; AML.T0066; AML.T0067; AML.T0068; AML.T0070; AML.T0071; AML.T0077; AML.T0080; AML.T0088; AML.T0092; AML.T0093; AML.T0094; AML.T0129</t>
        </is>
      </c>
      <c r="AH9" s="87" t="inlineStr">
        <is>
          <t>AIR-SEC-010</t>
        </is>
      </c>
      <c r="AI9" s="87" t="inlineStr">
        <is>
          <t>DE.CM; ID.IM; ID.RA; PR.DS; PR.PS</t>
        </is>
      </c>
      <c r="AJ9" s="88" t="inlineStr">
        <is>
          <t>CIS 3; CIS 7; CIS 10; CIS 13; CIS 16; CIS 18</t>
        </is>
      </c>
      <c r="AK9" s="87" t="inlineStr">
        <is>
          <t>CC3.4; CC4.1; CC6.1; CC6.6; CC6.7; CC6.8; CC7.1; CC7.2; CC8.1; PI1.2; PI1.4; PI1.5</t>
        </is>
      </c>
      <c r="AL9" s="87" t="inlineStr">
        <is>
          <t>Information Security</t>
        </is>
      </c>
      <c r="AM9" s="87" t="inlineStr">
        <is>
          <t>05 Data and pipeline attacks; 05 Inference-time (input) attacks</t>
        </is>
      </c>
      <c r="AN9" s="87" t="inlineStr">
        <is>
          <t>MCP06:2025</t>
        </is>
      </c>
      <c r="AO9" s="87" t="inlineStr">
        <is>
          <t>OECD AI Principles: Principle 1.4; EU Ethics Guidelines: Technical robustness and safety; UNESCO Recommendation: Safety and security; IEEE 7000-series: IEEE 7000-2021; Council of Europe AI Convention: Art. 12; G7 Hiroshima Code: Action 1, Action 2</t>
        </is>
      </c>
      <c r="AP9" s="87" t="inlineStr">
        <is>
          <t>GCC: U2, U11, S6, S7, Q4; EU: E1c, E5, E7, E17; UK: UK10; US: US3; Australia: AU8; China: CN7; India: IN8, IN10, IN11; Singapore: SG2, SG5, SG7, SG8, MAS 5.12 to 5.13, MAS 5.14 to 5.15, MAS 5.16, MAS 5.18 to 5.21, MAS 5.22, MAS 5.24, MAS 5.25; South: KR4</t>
        </is>
      </c>
      <c r="AQ9" s="88" t="n">
        <v>193</v>
      </c>
      <c r="AR9" s="88" t="n">
        <v>152</v>
      </c>
      <c r="AS9" s="85" t="n"/>
      <c r="AT9" s="85" t="n"/>
      <c r="AU9" s="21">
        <f>IF(OR(AS9="",AT9=""),"",AS9*AT9)</f>
        <v/>
      </c>
      <c r="AV9" s="21">
        <f>IF(AU9="","",INDEX(Settings!$A$20:$A$23,MATCH(AU9,Settings!$B$20:$B$23,1)))</f>
        <v/>
      </c>
      <c r="AW9" s="21">
        <f>IF(AV9&lt;&gt;"",AV9,T9)</f>
        <v/>
      </c>
      <c r="AX9" s="21">
        <f>IF(AW9="","",IF(MATCH(AW9,Settings!$A$20:$A$23,0)&lt;=MATCH(Settings!$C$28,Settings!$A$20:$A$23,0),"Yes","No"))</f>
        <v/>
      </c>
      <c r="AY9" s="81">
        <f>IF(AW9="","",IF(AX9="Yes",INDEX(Settings!$G$20:$G$23,MATCH(AW9,Settings!$A$20:$A$23,0)),INDEX(Settings!$G$20:$G$23,MATCH(AW9,Settings!$A$20:$A$23,0))&amp;" (outside appetite)"))</f>
        <v/>
      </c>
      <c r="AZ9" s="82" t="n"/>
      <c r="BA9" s="82" t="n"/>
      <c r="BB9" s="89" t="n"/>
      <c r="BC9" s="90">
        <f>IF(OR(BB9="",T9=""),"",BB9+INDEX(Settings!$E$20:$E$23,MATCH(T9,Settings!$A$20:$A$23,0)))</f>
        <v/>
      </c>
      <c r="BD9" s="89" t="n"/>
      <c r="BE9" s="82" t="n"/>
      <c r="BF9" s="81">
        <f>IF(A9="","",IF(OR(BE9="Closed",BE9="Accepted"),"No action",IF(BB9="","Set date identified",IF(TODAY()&gt;BC9,"Deadline exceeded",IF(BC9-TODAY()&lt;=Settings!$C$30,"Deadline approaching","On track")))))</f>
        <v/>
      </c>
      <c r="BG9" s="89" t="n"/>
      <c r="BH9" s="89" t="n"/>
      <c r="BI9" s="90">
        <f>IF(OR(BH9="",AW9=""),"",EDATE(BH9,INDEX(Settings!$F$20:$F$23,MATCH(AW9,Settings!$A$20:$A$23,0))))</f>
        <v/>
      </c>
      <c r="BJ9" s="21">
        <f>IF(T9="","",IF(MAX(IF(T9="",0,MATCH(T9,Settings!$A$20:$A$23,0)),IF(AV9="",0,MATCH(AV9,Settings!$A$20:$A$23,0)))&gt;=MATCH(Settings!$C$29,Settings!$A$20:$A$23,0),"Yes","No"))</f>
        <v/>
      </c>
      <c r="BK9" s="82" t="n"/>
      <c r="BL9" s="81">
        <f>IF(A9="","",IF(TRIM(IF(W9="","Treatment not chosen. ","")&amp;IF(AND(W9="Accept",AX9="No"),"Accepted outside appetite: record approval by "&amp;INDEX(Settings!$G$20:$G$23,MATCH(AW9,Settings!$A$20:$A$23,0))&amp;". ","")&amp;IF(AND(W9="Accept",BG9=""),"Acceptance expiry missing. ","")&amp;IF(AND(BG9&lt;&gt;"",BG9&lt;TODAY()),"Acceptance expired. ","")&amp;IF(AND(W9&lt;&gt;"",W9&lt;&gt;"Accept",AV9=""),"Target rating not set. ","")&amp;IF(AND(BE9="Closed",AX9="No"),"Closed while outside appetite. ","")&amp;IF(AND(W9="Transfer",BE9&lt;&gt;"Transferred",BE9&lt;&gt;"Closed"),"Transfer: record the contract, SLA and audit rights. ","")&amp;IF(AZ9="","Risk owner missing. ","")&amp;IF(K9="","Scenario not written. ",""))="","OK",TRIM(IF(W9="","Treatment not chosen. ","")&amp;IF(AND(W9="Accept",AX9="No"),"Accepted outside appetite: record approval by "&amp;INDEX(Settings!$G$20:$G$23,MATCH(AW9,Settings!$A$20:$A$23,0))&amp;". ","")&amp;IF(AND(W9="Accept",BG9=""),"Acceptance expiry missing. ","")&amp;IF(AND(BG9&lt;&gt;"",BG9&lt;TODAY()),"Acceptance expired. ","")&amp;IF(AND(W9&lt;&gt;"",W9&lt;&gt;"Accept",AV9=""),"Target rating not set. ","")&amp;IF(AND(BE9="Closed",AX9="No"),"Closed while outside appetite. ","")&amp;IF(AND(W9="Transfer",BE9&lt;&gt;"Transferred",BE9&lt;&gt;"Closed"),"Transfer: record the contract, SLA and audit rights. ","")&amp;IF(AZ9="","Risk owner missing. ","")&amp;IF(K9="","Scenario not written. ",""))))</f>
        <v/>
      </c>
      <c r="BM9" s="82" t="inlineStr">
        <is>
          <t>Wiki example ratings: likelihood Medium, impact Critical, residual High, priority 5.</t>
        </is>
      </c>
    </row>
    <row r="10" ht="105" customHeight="1">
      <c r="A10" s="91" t="inlineStr">
        <is>
          <t>AI-R06</t>
        </is>
      </c>
      <c r="B10" s="92" t="inlineStr">
        <is>
          <t>AI Output Leakage and Oversharing</t>
        </is>
      </c>
      <c r="C10" s="80" t="inlineStr">
        <is>
          <t>05</t>
        </is>
      </c>
      <c r="D10" s="81">
        <f>IF(C10="","",IFERROR(INDEX(Lists!$O$2:$O$13,MATCH(C10,Lists!$N$2:$N$13,0)),"Check domain code"))</f>
        <v/>
      </c>
      <c r="E10" s="81">
        <f>IF(C10="","",IFERROR(INDEX(Lists!$P$2:$P$13,MATCH(C10,Lists!$N$2:$N$13,0)),""))</f>
        <v/>
      </c>
      <c r="F10" s="80" t="n"/>
      <c r="G10" s="82" t="inlineStr">
        <is>
          <t>Enterprise-wide (all AI use)</t>
        </is>
      </c>
      <c r="H10" s="82" t="n"/>
      <c r="I10" s="82" t="n"/>
      <c r="J10" s="93" t="inlineStr">
        <is>
          <t>AI responses may aggregate or expose information beyond the intended context due to permission hygiene, weak retrieval controls or prompt manipulation. Required controls include output inspection, source-document logging and permission-aware response governance.</t>
        </is>
      </c>
      <c r="K10" s="82" t="n"/>
      <c r="L10" s="82" t="n"/>
      <c r="M10" s="94" t="inlineStr">
        <is>
          <t>A6; B1; B5</t>
        </is>
      </c>
      <c r="N10" s="21">
        <f>IF(COUNTIF(Triage!$E$6:$E$48,"Yes")+COUNTIF(Triage!$E$6:$E$48,"No")=0,"Not triaged",IF(SUMPRODUCT(COUNTIFS(Triage!$A$6:$A$48,{"A6","B1","B5"},Triage!$E$6:$E$48,"Yes"))&gt;0,"Applies","Not triggered"))</f>
        <v/>
      </c>
      <c r="O10" s="82" t="n"/>
      <c r="P10" s="85" t="n"/>
      <c r="Q10" s="85" t="n">
        <v>2</v>
      </c>
      <c r="R10" s="85" t="n">
        <v>3</v>
      </c>
      <c r="S10" s="21">
        <f>IF(OR(Q10="",R10=""),"",Q10*R10)</f>
        <v/>
      </c>
      <c r="T10" s="21">
        <f>IF(S10="","",INDEX(Settings!$A$20:$A$23,MATCH(S10,Settings!$B$20:$B$23,1)))</f>
        <v/>
      </c>
      <c r="U10" s="82" t="inlineStr">
        <is>
          <t>Qualitative (4 x 4)</t>
        </is>
      </c>
      <c r="V10" s="86" t="n"/>
      <c r="W10" s="85" t="n"/>
      <c r="X10" s="82" t="n"/>
      <c r="Y10" s="95" t="inlineStr">
        <is>
          <t>AI-CTRL-005, AI-CTRL-016, AI-CTRL-017, AI-CTRL-018, AI-CTRL-020</t>
        </is>
      </c>
      <c r="Z10" s="95" t="inlineStr">
        <is>
          <t>AI-CTRL-005, AI-CTRL-016, AI-CTRL-017, AI-CTRL-018, AI-CTRL-020</t>
        </is>
      </c>
      <c r="AA10" s="95" t="inlineStr">
        <is>
          <t>Output inspection; retrieval governance; source-document logging</t>
        </is>
      </c>
      <c r="AB10" s="95" t="inlineStr">
        <is>
          <t>Response logs; retrieval logs; permission validation evidence</t>
        </is>
      </c>
      <c r="AC10" s="95" t="inlineStr">
        <is>
          <t>A.4.3; A.6.2.4; A.6.2.6; A.7.6</t>
        </is>
      </c>
      <c r="AD10" s="95" t="inlineStr">
        <is>
          <t>A.5.12; A.5.13; A.5.15; A.5.18; A.8.2; A.8.3; A.8.10; A.8.11; A.8.12; A.8.16; A.8.24; A.8.26; A.8.27; A.8.28; A.8.33</t>
        </is>
      </c>
      <c r="AE10" s="95" t="inlineStr">
        <is>
          <t>MANAGE 1.3; MEASURE 2.7; MEASURE 2.10</t>
        </is>
      </c>
      <c r="AF10" s="95" t="inlineStr">
        <is>
          <t>ASI01; ASI03; LLM01:2025; LLM02:2025; LLM05:2025; LLM06:2025; LLM07:2025; LLM08:2025</t>
        </is>
      </c>
      <c r="AG10" s="95" t="inlineStr">
        <is>
          <t>AML.T0012; AML.T0025; AML.T0051; AML.T0054; AML.T0055; AML.T0056; AML.T0057; AML.T0064; AML.T0067; AML.T0068; AML.T0077; AML.T0082; AML.T0083; AML.T0085; AML.T0093; AML.T0098</t>
        </is>
      </c>
      <c r="AH10" s="95" t="inlineStr">
        <is>
          <t>AIR-SEC-002</t>
        </is>
      </c>
      <c r="AI10" s="95" t="inlineStr">
        <is>
          <t>DE.CM; ID.AM; PR.AA; PR.DS; PR.PS</t>
        </is>
      </c>
      <c r="AJ10" s="96" t="inlineStr">
        <is>
          <t>CIS 3; CIS 5; CIS 6; CIS 13; CIS 16</t>
        </is>
      </c>
      <c r="AK10" s="95" t="inlineStr">
        <is>
          <t>C1.1; C1.2; CC6.1; CC6.3; CC6.6; CC6.7; CC7.2; PI1.4</t>
        </is>
      </c>
      <c r="AL10" s="95" t="inlineStr">
        <is>
          <t>Data Privacy</t>
        </is>
      </c>
      <c r="AM10" s="95" t="inlineStr">
        <is>
          <t>03 Privacy and consent; 05 Output and integration security; 05 AI access and identity</t>
        </is>
      </c>
      <c r="AN10" s="95" t="inlineStr">
        <is>
          <t>MCP10:2025</t>
        </is>
      </c>
      <c r="AO10" s="95" t="inlineStr">
        <is>
          <t>OECD AI Principles: Principle 1.4; EU Ethics Guidelines: Technical robustness and safety, Privacy and data governance; UNESCO Recommendation: Safety and security, Right to privacy and data protection; IEEE 7000-series: IEEE 7002-2022; Council of Europe AI Convention: Art. 11</t>
        </is>
      </c>
      <c r="AP10" s="95" t="inlineStr">
        <is>
          <t>GCC: U1, U2, U11, S1, S6, S7, Q1; EU: E2, E5, E7, E17; UK: UK2, UK10; US: US3, US17; Australia: AU8; Brazil: BR2; China: CN7; India: IN1, IN8, IN10, IN11; Singapore: SG2, SG4, SG5, SG7, SG8, MAS 5.4, MAS 5.16; South: KR4</t>
        </is>
      </c>
      <c r="AQ10" s="96" t="n">
        <v>170</v>
      </c>
      <c r="AR10" s="96" t="n">
        <v>161</v>
      </c>
      <c r="AS10" s="85" t="n"/>
      <c r="AT10" s="85" t="n"/>
      <c r="AU10" s="21">
        <f>IF(OR(AS10="",AT10=""),"",AS10*AT10)</f>
        <v/>
      </c>
      <c r="AV10" s="21">
        <f>IF(AU10="","",INDEX(Settings!$A$20:$A$23,MATCH(AU10,Settings!$B$20:$B$23,1)))</f>
        <v/>
      </c>
      <c r="AW10" s="21">
        <f>IF(AV10&lt;&gt;"",AV10,T10)</f>
        <v/>
      </c>
      <c r="AX10" s="21">
        <f>IF(AW10="","",IF(MATCH(AW10,Settings!$A$20:$A$23,0)&lt;=MATCH(Settings!$C$28,Settings!$A$20:$A$23,0),"Yes","No"))</f>
        <v/>
      </c>
      <c r="AY10" s="81">
        <f>IF(AW10="","",IF(AX10="Yes",INDEX(Settings!$G$20:$G$23,MATCH(AW10,Settings!$A$20:$A$23,0)),INDEX(Settings!$G$20:$G$23,MATCH(AW10,Settings!$A$20:$A$23,0))&amp;" (outside appetite)"))</f>
        <v/>
      </c>
      <c r="AZ10" s="82" t="n"/>
      <c r="BA10" s="82" t="n"/>
      <c r="BB10" s="89" t="n"/>
      <c r="BC10" s="90">
        <f>IF(OR(BB10="",T10=""),"",BB10+INDEX(Settings!$E$20:$E$23,MATCH(T10,Settings!$A$20:$A$23,0)))</f>
        <v/>
      </c>
      <c r="BD10" s="89" t="n"/>
      <c r="BE10" s="82" t="n"/>
      <c r="BF10" s="81">
        <f>IF(A10="","",IF(OR(BE10="Closed",BE10="Accepted"),"No action",IF(BB10="","Set date identified",IF(TODAY()&gt;BC10,"Deadline exceeded",IF(BC10-TODAY()&lt;=Settings!$C$30,"Deadline approaching","On track")))))</f>
        <v/>
      </c>
      <c r="BG10" s="89" t="n"/>
      <c r="BH10" s="89" t="n"/>
      <c r="BI10" s="90">
        <f>IF(OR(BH10="",AW10=""),"",EDATE(BH10,INDEX(Settings!$F$20:$F$23,MATCH(AW10,Settings!$A$20:$A$23,0))))</f>
        <v/>
      </c>
      <c r="BJ10" s="21">
        <f>IF(T10="","",IF(MAX(IF(T10="",0,MATCH(T10,Settings!$A$20:$A$23,0)),IF(AV10="",0,MATCH(AV10,Settings!$A$20:$A$23,0)))&gt;=MATCH(Settings!$C$29,Settings!$A$20:$A$23,0),"Yes","No"))</f>
        <v/>
      </c>
      <c r="BK10" s="82" t="n"/>
      <c r="BL10" s="81">
        <f>IF(A10="","",IF(TRIM(IF(W10="","Treatment not chosen. ","")&amp;IF(AND(W10="Accept",AX10="No"),"Accepted outside appetite: record approval by "&amp;INDEX(Settings!$G$20:$G$23,MATCH(AW10,Settings!$A$20:$A$23,0))&amp;". ","")&amp;IF(AND(W10="Accept",BG10=""),"Acceptance expiry missing. ","")&amp;IF(AND(BG10&lt;&gt;"",BG10&lt;TODAY()),"Acceptance expired. ","")&amp;IF(AND(W10&lt;&gt;"",W10&lt;&gt;"Accept",AV10=""),"Target rating not set. ","")&amp;IF(AND(BE10="Closed",AX10="No"),"Closed while outside appetite. ","")&amp;IF(AND(W10="Transfer",BE10&lt;&gt;"Transferred",BE10&lt;&gt;"Closed"),"Transfer: record the contract, SLA and audit rights. ","")&amp;IF(AZ10="","Risk owner missing. ","")&amp;IF(K10="","Scenario not written. ",""))="","OK",TRIM(IF(W10="","Treatment not chosen. ","")&amp;IF(AND(W10="Accept",AX10="No"),"Accepted outside appetite: record approval by "&amp;INDEX(Settings!$G$20:$G$23,MATCH(AW10,Settings!$A$20:$A$23,0))&amp;". ","")&amp;IF(AND(W10="Accept",BG10=""),"Acceptance expiry missing. ","")&amp;IF(AND(BG10&lt;&gt;"",BG10&lt;TODAY()),"Acceptance expired. ","")&amp;IF(AND(W10&lt;&gt;"",W10&lt;&gt;"Accept",AV10=""),"Target rating not set. ","")&amp;IF(AND(BE10="Closed",AX10="No"),"Closed while outside appetite. ","")&amp;IF(AND(W10="Transfer",BE10&lt;&gt;"Transferred",BE10&lt;&gt;"Closed"),"Transfer: record the contract, SLA and audit rights. ","")&amp;IF(AZ10="","Risk owner missing. ","")&amp;IF(K10="","Scenario not written. ",""))))</f>
        <v/>
      </c>
      <c r="BM10" s="82" t="inlineStr">
        <is>
          <t>Wiki example ratings: likelihood Medium, impact High, residual High, priority 6.</t>
        </is>
      </c>
    </row>
    <row r="11" ht="105" customHeight="1">
      <c r="A11" s="78" t="inlineStr">
        <is>
          <t>AI-R07</t>
        </is>
      </c>
      <c r="B11" s="79" t="inlineStr">
        <is>
          <t>AI Agent and Tool-Calling Abuse</t>
        </is>
      </c>
      <c r="C11" s="80" t="inlineStr">
        <is>
          <t>12</t>
        </is>
      </c>
      <c r="D11" s="81">
        <f>IF(C11="","",IFERROR(INDEX(Lists!$O$2:$O$13,MATCH(C11,Lists!$N$2:$N$13,0)),"Check domain code"))</f>
        <v/>
      </c>
      <c r="E11" s="81">
        <f>IF(C11="","",IFERROR(INDEX(Lists!$P$2:$P$13,MATCH(C11,Lists!$N$2:$N$13,0)),""))</f>
        <v/>
      </c>
      <c r="F11" s="80" t="n"/>
      <c r="G11" s="82" t="inlineStr">
        <is>
          <t>Enterprise-wide (all AI use)</t>
        </is>
      </c>
      <c r="H11" s="82" t="n"/>
      <c r="I11" s="82" t="n"/>
      <c r="J11" s="83" t="inlineStr">
        <is>
          <t>Agents can call tools, APIs and workflows. Risks include excessive privilege, unauthorized action, tool misuse, MCP compromise and insufficient traceability. Required controls include identity, least privilege, approvals, tool governance and action logging.</t>
        </is>
      </c>
      <c r="K11" s="82" t="n"/>
      <c r="L11" s="82" t="n"/>
      <c r="M11" s="84" t="inlineStr">
        <is>
          <t>A1; A2</t>
        </is>
      </c>
      <c r="N11" s="21">
        <f>IF(COUNTIF(Triage!$E$6:$E$48,"Yes")+COUNTIF(Triage!$E$6:$E$48,"No")=0,"Not triaged",IF(SUMPRODUCT(COUNTIFS(Triage!$A$6:$A$48,{"A1","A2"},Triage!$E$6:$E$48,"Yes"))&gt;0,"Applies","Not triggered"))</f>
        <v/>
      </c>
      <c r="O11" s="82" t="n"/>
      <c r="P11" s="85" t="n"/>
      <c r="Q11" s="85" t="n">
        <v>2</v>
      </c>
      <c r="R11" s="85" t="n">
        <v>4</v>
      </c>
      <c r="S11" s="21">
        <f>IF(OR(Q11="",R11=""),"",Q11*R11)</f>
        <v/>
      </c>
      <c r="T11" s="21">
        <f>IF(S11="","",INDEX(Settings!$A$20:$A$23,MATCH(S11,Settings!$B$20:$B$23,1)))</f>
        <v/>
      </c>
      <c r="U11" s="82" t="inlineStr">
        <is>
          <t>Qualitative (4 x 4)</t>
        </is>
      </c>
      <c r="V11" s="86" t="n"/>
      <c r="W11" s="85" t="n"/>
      <c r="X11" s="82" t="n"/>
      <c r="Y11" s="87" t="inlineStr">
        <is>
          <t>AI-CTRL-006, AI-CTRL-015, AI-CTRL-016, AI-CTRL-022, AI-CTRL-023, AI-CTRL-024, AI-CTRL-025, AI-CTRL-026, AI-CTRL-027, AI-CTRL-033, AI-CTRL-034, AI-CTRL-045</t>
        </is>
      </c>
      <c r="Z11" s="87" t="inlineStr">
        <is>
          <t>AI-CTRL-006, AI-CTRL-015, AI-CTRL-016, AI-CTRL-022, AI-CTRL-023, AI-CTRL-024, AI-CTRL-025, AI-CTRL-027, AI-CTRL-033</t>
        </is>
      </c>
      <c r="AA11" s="87" t="inlineStr">
        <is>
          <t>Agent identity; tool governance; approvals; action logging</t>
        </is>
      </c>
      <c r="AB11" s="87" t="inlineStr">
        <is>
          <t>Agent registry; API/tool matrix; approval logs; SIEM events</t>
        </is>
      </c>
      <c r="AC11" s="87" t="inlineStr">
        <is>
          <t>A.4.2; A.4.4; A.4.5; A.5.2; A.6.1.2; A.6.1.3; A.6.2.2; A.6.2.4; A.6.2.5; A.6.2.6; A.9.2; A.9.3; A.10.3</t>
        </is>
      </c>
      <c r="AD11" s="87" t="inlineStr">
        <is>
          <t>A.5.3; A.5.7; A.5.8; A.5.15; A.5.16; A.5.17; A.5.18; A.5.19; A.5.21; A.5.26; A.8.2; A.8.3; A.8.5; A.8.8; A.8.9; A.8.15; A.8.16; A.8.18; A.8.19; A.8.22; A.8.25; A.8.27; A.8.29; A.8.31; A.8.32; A.8.34</t>
        </is>
      </c>
      <c r="AE11" s="87" t="inlineStr">
        <is>
          <t>GOVERN 1.6; GOVERN 3.2; GOVERN 4.2; GOVERN 4.3; GOVERN 6.1; MANAGE 1.1; MANAGE 1.3; MANAGE 2.3; MANAGE 2.4; MANAGE 3.1; MAP 3.5; MAP 4.1; MAP 4.2; MEASURE 2.1; MEASURE 2.4; MEASURE 2.6; MEASURE 2.7; MEASURE 2.8; MEASURE 2.10</t>
        </is>
      </c>
      <c r="AF11" s="87" t="inlineStr">
        <is>
          <t>ASI02; ASI03; ASI04; ASI05; ASI06; ASI07; ASI08; ASI09; ASI10; LLM01:2025; LLM02:2025; LLM03:2025; LLM04:2025; LLM05:2025; LLM06:2025; LLM07:2025; LLM08:2025; LLM09:2025; LLM10:2025</t>
        </is>
      </c>
      <c r="AG11" s="87" t="inlineStr">
        <is>
          <t>AML.T0010; AML.T0012; AML.T0034; AML.T0050; AML.T0053; AML.T0055; AML.T0073; AML.T0080; AML.T0081; AML.T0083; AML.T0086; AML.T0091; AML.T0092; AML.T0094; AML.T0098; AML.T0099; AML.T0101; AML.T0102; AML.T0105; AML.T0109; AML.T0110</t>
        </is>
      </c>
      <c r="AH11" s="87" t="inlineStr">
        <is>
          <t>AIR-SEC-024</t>
        </is>
      </c>
      <c r="AI11" s="87" t="inlineStr">
        <is>
          <t>DE.CM; GV.RR; GV.SC; ID.IM; ID.RA; PR.AA; PR.DS; PR.IR; PR.PS; RS.MA; RS.MI</t>
        </is>
      </c>
      <c r="AJ11" s="88" t="inlineStr">
        <is>
          <t>CIS 2; CIS 3; CIS 4; CIS 5; CIS 6; CIS 7; CIS 8; CIS 12; CIS 15; CIS 16; CIS 17; CIS 18</t>
        </is>
      </c>
      <c r="AK11" s="87" t="inlineStr">
        <is>
          <t>CC3.4; CC4.1; CC6.1; CC6.2; CC6.3; CC6.6; CC6.8; CC7.1; CC7.2; CC7.4; CC8.1; CC9.2; PI1.5</t>
        </is>
      </c>
      <c r="AL11" s="87" t="inlineStr">
        <is>
          <t>Information Security</t>
        </is>
      </c>
      <c r="AM11" s="87" t="inlineStr">
        <is>
          <t>05 Output and integration security; 12 Autonomy, alignment and oversight; 12 Tool access and authorization; 12 Action integrity and traceability</t>
        </is>
      </c>
      <c r="AN11" s="87" t="inlineStr">
        <is>
          <t>MCP02:2025; MCP07:2025</t>
        </is>
      </c>
      <c r="AO11" s="87" t="inlineStr">
        <is>
          <t>OECD AI Principles: Principle 1.2, Principle 1.4; EU Ethics Guidelines: Human agency and oversight, Technical robustness and safety; UNESCO Recommendation: Safety and security, Human oversight and determination; IEEE 7000-series: IEEE 7000-2021; Council of Europe AI Convention: Art. 7, Art. 8, Art. 12, 14, 15; G7 Hiroshima Code: Action 1, Action 2</t>
        </is>
      </c>
      <c r="AP11" s="87" t="inlineStr">
        <is>
          <t>GCC: U3, U6, U9, Q4, B4; EU: E1c; UK: UK3, UK5; US: US8, US10; Australia: AU4; Canada: CA3; China: CN6; India: IN5, IN6, IN13; Singapore: SG2, SG5, SG7, MAS 4.5 to 4.9, MAS 5.3, MAS 5.9, MAS 5.12 to 5.13, MAS 5.14 to 5.15, MAS 5.16, MAS 5.18 to 5.21, MAS 5.22, MAS 5.24, MAS 5.25; South: KR3</t>
        </is>
      </c>
      <c r="AQ11" s="88" t="n">
        <v>284</v>
      </c>
      <c r="AR11" s="88" t="n">
        <v>208</v>
      </c>
      <c r="AS11" s="85" t="n"/>
      <c r="AT11" s="85" t="n"/>
      <c r="AU11" s="21">
        <f>IF(OR(AS11="",AT11=""),"",AS11*AT11)</f>
        <v/>
      </c>
      <c r="AV11" s="21">
        <f>IF(AU11="","",INDEX(Settings!$A$20:$A$23,MATCH(AU11,Settings!$B$20:$B$23,1)))</f>
        <v/>
      </c>
      <c r="AW11" s="21">
        <f>IF(AV11&lt;&gt;"",AV11,T11)</f>
        <v/>
      </c>
      <c r="AX11" s="21">
        <f>IF(AW11="","",IF(MATCH(AW11,Settings!$A$20:$A$23,0)&lt;=MATCH(Settings!$C$28,Settings!$A$20:$A$23,0),"Yes","No"))</f>
        <v/>
      </c>
      <c r="AY11" s="81">
        <f>IF(AW11="","",IF(AX11="Yes",INDEX(Settings!$G$20:$G$23,MATCH(AW11,Settings!$A$20:$A$23,0)),INDEX(Settings!$G$20:$G$23,MATCH(AW11,Settings!$A$20:$A$23,0))&amp;" (outside appetite)"))</f>
        <v/>
      </c>
      <c r="AZ11" s="82" t="n"/>
      <c r="BA11" s="82" t="n"/>
      <c r="BB11" s="89" t="n"/>
      <c r="BC11" s="90">
        <f>IF(OR(BB11="",T11=""),"",BB11+INDEX(Settings!$E$20:$E$23,MATCH(T11,Settings!$A$20:$A$23,0)))</f>
        <v/>
      </c>
      <c r="BD11" s="89" t="n"/>
      <c r="BE11" s="82" t="n"/>
      <c r="BF11" s="81">
        <f>IF(A11="","",IF(OR(BE11="Closed",BE11="Accepted"),"No action",IF(BB11="","Set date identified",IF(TODAY()&gt;BC11,"Deadline exceeded",IF(BC11-TODAY()&lt;=Settings!$C$30,"Deadline approaching","On track")))))</f>
        <v/>
      </c>
      <c r="BG11" s="89" t="n"/>
      <c r="BH11" s="89" t="n"/>
      <c r="BI11" s="90">
        <f>IF(OR(BH11="",AW11=""),"",EDATE(BH11,INDEX(Settings!$F$20:$F$23,MATCH(AW11,Settings!$A$20:$A$23,0))))</f>
        <v/>
      </c>
      <c r="BJ11" s="21">
        <f>IF(T11="","",IF(MAX(IF(T11="",0,MATCH(T11,Settings!$A$20:$A$23,0)),IF(AV11="",0,MATCH(AV11,Settings!$A$20:$A$23,0)))&gt;=MATCH(Settings!$C$29,Settings!$A$20:$A$23,0),"Yes","No"))</f>
        <v/>
      </c>
      <c r="BK11" s="82" t="n"/>
      <c r="BL11" s="81">
        <f>IF(A11="","",IF(TRIM(IF(W11="","Treatment not chosen. ","")&amp;IF(AND(W11="Accept",AX11="No"),"Accepted outside appetite: record approval by "&amp;INDEX(Settings!$G$20:$G$23,MATCH(AW11,Settings!$A$20:$A$23,0))&amp;". ","")&amp;IF(AND(W11="Accept",BG11=""),"Acceptance expiry missing. ","")&amp;IF(AND(BG11&lt;&gt;"",BG11&lt;TODAY()),"Acceptance expired. ","")&amp;IF(AND(W11&lt;&gt;"",W11&lt;&gt;"Accept",AV11=""),"Target rating not set. ","")&amp;IF(AND(BE11="Closed",AX11="No"),"Closed while outside appetite. ","")&amp;IF(AND(W11="Transfer",BE11&lt;&gt;"Transferred",BE11&lt;&gt;"Closed"),"Transfer: record the contract, SLA and audit rights. ","")&amp;IF(AZ11="","Risk owner missing. ","")&amp;IF(K11="","Scenario not written. ",""))="","OK",TRIM(IF(W11="","Treatment not chosen. ","")&amp;IF(AND(W11="Accept",AX11="No"),"Accepted outside appetite: record approval by "&amp;INDEX(Settings!$G$20:$G$23,MATCH(AW11,Settings!$A$20:$A$23,0))&amp;". ","")&amp;IF(AND(W11="Accept",BG11=""),"Acceptance expiry missing. ","")&amp;IF(AND(BG11&lt;&gt;"",BG11&lt;TODAY()),"Acceptance expired. ","")&amp;IF(AND(W11&lt;&gt;"",W11&lt;&gt;"Accept",AV11=""),"Target rating not set. ","")&amp;IF(AND(BE11="Closed",AX11="No"),"Closed while outside appetite. ","")&amp;IF(AND(W11="Transfer",BE11&lt;&gt;"Transferred",BE11&lt;&gt;"Closed"),"Transfer: record the contract, SLA and audit rights. ","")&amp;IF(AZ11="","Risk owner missing. ","")&amp;IF(K11="","Scenario not written. ",""))))</f>
        <v/>
      </c>
      <c r="BM11" s="82" t="inlineStr">
        <is>
          <t>Wiki example ratings: likelihood Medium, impact Critical, residual Critical, priority 7.</t>
        </is>
      </c>
    </row>
    <row r="12" ht="105" customHeight="1">
      <c r="A12" s="91" t="inlineStr">
        <is>
          <t>AI-R08</t>
        </is>
      </c>
      <c r="B12" s="92" t="inlineStr">
        <is>
          <t>AI Supply Chain and Model Integrity Risk</t>
        </is>
      </c>
      <c r="C12" s="80" t="inlineStr">
        <is>
          <t>09</t>
        </is>
      </c>
      <c r="D12" s="81">
        <f>IF(C12="","",IFERROR(INDEX(Lists!$O$2:$O$13,MATCH(C12,Lists!$N$2:$N$13,0)),"Check domain code"))</f>
        <v/>
      </c>
      <c r="E12" s="81">
        <f>IF(C12="","",IFERROR(INDEX(Lists!$P$2:$P$13,MATCH(C12,Lists!$N$2:$N$13,0)),""))</f>
        <v/>
      </c>
      <c r="F12" s="80" t="n"/>
      <c r="G12" s="82" t="inlineStr">
        <is>
          <t>Enterprise-wide (all AI use)</t>
        </is>
      </c>
      <c r="H12" s="82" t="n"/>
      <c r="I12" s="82" t="n"/>
      <c r="J12" s="93" t="inlineStr">
        <is>
          <t>AI applications rely on models, libraries, datasets, plugins, extensions and MCP servers. Required controls include AI asset inventory, model inventory, AI BOM, model scanning, plugin governance and vulnerability integration.</t>
        </is>
      </c>
      <c r="K12" s="82" t="n"/>
      <c r="L12" s="82" t="n"/>
      <c r="M12" s="94" t="inlineStr">
        <is>
          <t>B6</t>
        </is>
      </c>
      <c r="N12" s="21">
        <f>IF(COUNTIF(Triage!$E$6:$E$48,"Yes")+COUNTIF(Triage!$E$6:$E$48,"No")=0,"Not triaged",IF(SUMPRODUCT(COUNTIFS(Triage!$A$6:$A$48,{"B6"},Triage!$E$6:$E$48,"Yes"))&gt;0,"Applies","Not triggered"))</f>
        <v/>
      </c>
      <c r="O12" s="82" t="n"/>
      <c r="P12" s="85" t="n"/>
      <c r="Q12" s="85" t="n">
        <v>2</v>
      </c>
      <c r="R12" s="85" t="n">
        <v>3</v>
      </c>
      <c r="S12" s="21">
        <f>IF(OR(Q12="",R12=""),"",Q12*R12)</f>
        <v/>
      </c>
      <c r="T12" s="21">
        <f>IF(S12="","",INDEX(Settings!$A$20:$A$23,MATCH(S12,Settings!$B$20:$B$23,1)))</f>
        <v/>
      </c>
      <c r="U12" s="82" t="inlineStr">
        <is>
          <t>Qualitative (4 x 4)</t>
        </is>
      </c>
      <c r="V12" s="86" t="n"/>
      <c r="W12" s="85" t="n"/>
      <c r="X12" s="82" t="n"/>
      <c r="Y12" s="95" t="inlineStr">
        <is>
          <t>AI-CTRL-014, AI-CTRL-016, AI-CTRL-019, AI-CTRL-024, AI-CTRL-028, AI-CTRL-029, AI-CTRL-030, AI-CTRL-031, AI-CTRL-032, AI-CTRL-033</t>
        </is>
      </c>
      <c r="Z12" s="95" t="inlineStr">
        <is>
          <t>AI-CTRL-014, AI-CTRL-016, AI-CTRL-024, AI-CTRL-033</t>
        </is>
      </c>
      <c r="AA12" s="95" t="inlineStr">
        <is>
          <t>AI asset inventory; model inventory; plugin governance; dependency scanning; least-privilege workload identities</t>
        </is>
      </c>
      <c r="AB12" s="95" t="inlineStr">
        <is>
          <t>AI BOM; model registry; vulnerability reports</t>
        </is>
      </c>
      <c r="AC12" s="95" t="inlineStr">
        <is>
          <t>A.4.2; A.4.4; A.4.5; A.5.2; A.6.1.2; A.6.1.3; A.6.2.2; A.6.2.3; A.6.2.4; A.6.2.5; A.6.2.6; A.6.2.7; A.7.2; A.7.3; A.7.4; A.7.5; A.10.2; A.10.3</t>
        </is>
      </c>
      <c r="AD12" s="95" t="inlineStr">
        <is>
          <t>A.5.8; A.5.9; A.5.11; A.5.15; A.5.18; A.5.19; A.5.20; A.5.21; A.5.22; A.5.23; A.8.2; A.8.3; A.8.4; A.8.8; A.8.9; A.8.12; A.8.18; A.8.19; A.8.20; A.8.21; A.8.22; A.8.24; A.8.25; A.8.27; A.8.29; A.8.30; A.8.31; A.8.32; A.8.33</t>
        </is>
      </c>
      <c r="AE12" s="95" t="inlineStr">
        <is>
          <t>GOVERN 4.2; GOVERN 6.1; GOVERN 6.2; MANAGE 1.1; MANAGE 1.3; MANAGE 3.1; MANAGE 3.2; MAP 2.3; MAP 4.1; MAP 4.2; MEASURE 2.5; MEASURE 2.7; MEASURE 2.10</t>
        </is>
      </c>
      <c r="AF12" s="95" t="inlineStr">
        <is>
          <t>ASI02; ASI03; ASI04; LLM02:2025; LLM03:2025; LLM04:2025; LLM06:2025; LLM08:2025; LLM10:2025</t>
        </is>
      </c>
      <c r="AG12" s="95" t="inlineStr">
        <is>
          <t>AML.T0010; AML.T0012; AML.T0015; AML.T0018; AML.T0020; AML.T0024; AML.T0025; AML.T0043; AML.T0044; AML.T0049; AML.T0055; AML.T0059; AML.T0066; AML.T0070; AML.T0071; AML.T0083; AML.T0098; AML.T0099; AML.T0109; AML.T0110; AML.T0111; AML.T0115; AML.T0119; AML.T0132</t>
        </is>
      </c>
      <c r="AH12" s="95" t="inlineStr">
        <is>
          <t>AIR-SEC-008; AIR-SEC-009; AIR-SEC-026</t>
        </is>
      </c>
      <c r="AI12" s="95" t="inlineStr">
        <is>
          <t>GV.SC; ID.AM; ID.RA; PR.AA; PR.DS; PR.IR; PR.PS</t>
        </is>
      </c>
      <c r="AJ12" s="96" t="inlineStr">
        <is>
          <t>CIS 2; CIS 3; CIS 4; CIS 5; CIS 6; CIS 7; CIS 12; CIS 13; CIS 15; CIS 16</t>
        </is>
      </c>
      <c r="AK12" s="95" t="inlineStr">
        <is>
          <t>C1.1; CC3.4; CC6.1; CC6.3; CC6.6; CC6.7; CC6.8; CC7.1; CC8.1; CC9.2; PI1.2</t>
        </is>
      </c>
      <c r="AL12" s="95" t="inlineStr">
        <is>
          <t>Information Security; Value Chain and Component Integration</t>
        </is>
      </c>
      <c r="AM12" s="95" t="inlineStr">
        <is>
          <t>03 Sourcing and provenance; 04 Design and training; 05 Data and pipeline attacks; 05 Model attacks; 05 Supply-chain and artifact integrity; 09 Open-source component risk</t>
        </is>
      </c>
      <c r="AN12" s="95" t="inlineStr">
        <is>
          <t>MCP04:2025</t>
        </is>
      </c>
      <c r="AO12" s="95" t="inlineStr">
        <is>
          <t>OECD AI Principles: Principle 1.4; EU Ethics Guidelines: Technical robustness and safety, Privacy and data governance; IEEE 7000-series: IEEE 7000-2021; G7 Hiroshima Code: Action 1, Action 6, Action 11</t>
        </is>
      </c>
      <c r="AP12" s="95" t="inlineStr">
        <is>
          <t>GCC: U2, U9, U11, S6, S7, S9, Q4; EU: E1e, E6, E9, E11, E13, E15; UK: UK8; US: US6, US14, US15, US16, US17; Australia: AU8; Brazil: BR4; India: IN5, IN7, IN13; Japan: JP5, JP6; Singapore: SG5, MAS 5.4, MAS 5.10 to 5.11, MAS 5.12 to 5.13, MAS 5.16, MAS 5.17, MAS 5.18 to 5.21, MAS 5.22, MAS 5.25, MAS 5.26, MAS 6.3</t>
        </is>
      </c>
      <c r="AQ12" s="96" t="n">
        <v>282</v>
      </c>
      <c r="AR12" s="96" t="n">
        <v>199</v>
      </c>
      <c r="AS12" s="85" t="n"/>
      <c r="AT12" s="85" t="n"/>
      <c r="AU12" s="21">
        <f>IF(OR(AS12="",AT12=""),"",AS12*AT12)</f>
        <v/>
      </c>
      <c r="AV12" s="21">
        <f>IF(AU12="","",INDEX(Settings!$A$20:$A$23,MATCH(AU12,Settings!$B$20:$B$23,1)))</f>
        <v/>
      </c>
      <c r="AW12" s="21">
        <f>IF(AV12&lt;&gt;"",AV12,T12)</f>
        <v/>
      </c>
      <c r="AX12" s="21">
        <f>IF(AW12="","",IF(MATCH(AW12,Settings!$A$20:$A$23,0)&lt;=MATCH(Settings!$C$28,Settings!$A$20:$A$23,0),"Yes","No"))</f>
        <v/>
      </c>
      <c r="AY12" s="81">
        <f>IF(AW12="","",IF(AX12="Yes",INDEX(Settings!$G$20:$G$23,MATCH(AW12,Settings!$A$20:$A$23,0)),INDEX(Settings!$G$20:$G$23,MATCH(AW12,Settings!$A$20:$A$23,0))&amp;" (outside appetite)"))</f>
        <v/>
      </c>
      <c r="AZ12" s="82" t="n"/>
      <c r="BA12" s="82" t="n"/>
      <c r="BB12" s="89" t="n"/>
      <c r="BC12" s="90">
        <f>IF(OR(BB12="",T12=""),"",BB12+INDEX(Settings!$E$20:$E$23,MATCH(T12,Settings!$A$20:$A$23,0)))</f>
        <v/>
      </c>
      <c r="BD12" s="89" t="n"/>
      <c r="BE12" s="82" t="n"/>
      <c r="BF12" s="81">
        <f>IF(A12="","",IF(OR(BE12="Closed",BE12="Accepted"),"No action",IF(BB12="","Set date identified",IF(TODAY()&gt;BC12,"Deadline exceeded",IF(BC12-TODAY()&lt;=Settings!$C$30,"Deadline approaching","On track")))))</f>
        <v/>
      </c>
      <c r="BG12" s="89" t="n"/>
      <c r="BH12" s="89" t="n"/>
      <c r="BI12" s="90">
        <f>IF(OR(BH12="",AW12=""),"",EDATE(BH12,INDEX(Settings!$F$20:$F$23,MATCH(AW12,Settings!$A$20:$A$23,0))))</f>
        <v/>
      </c>
      <c r="BJ12" s="21">
        <f>IF(T12="","",IF(MAX(IF(T12="",0,MATCH(T12,Settings!$A$20:$A$23,0)),IF(AV12="",0,MATCH(AV12,Settings!$A$20:$A$23,0)))&gt;=MATCH(Settings!$C$29,Settings!$A$20:$A$23,0),"Yes","No"))</f>
        <v/>
      </c>
      <c r="BK12" s="82" t="n"/>
      <c r="BL12" s="81">
        <f>IF(A12="","",IF(TRIM(IF(W12="","Treatment not chosen. ","")&amp;IF(AND(W12="Accept",AX12="No"),"Accepted outside appetite: record approval by "&amp;INDEX(Settings!$G$20:$G$23,MATCH(AW12,Settings!$A$20:$A$23,0))&amp;". ","")&amp;IF(AND(W12="Accept",BG12=""),"Acceptance expiry missing. ","")&amp;IF(AND(BG12&lt;&gt;"",BG12&lt;TODAY()),"Acceptance expired. ","")&amp;IF(AND(W12&lt;&gt;"",W12&lt;&gt;"Accept",AV12=""),"Target rating not set. ","")&amp;IF(AND(BE12="Closed",AX12="No"),"Closed while outside appetite. ","")&amp;IF(AND(W12="Transfer",BE12&lt;&gt;"Transferred",BE12&lt;&gt;"Closed"),"Transfer: record the contract, SLA and audit rights. ","")&amp;IF(AZ12="","Risk owner missing. ","")&amp;IF(K12="","Scenario not written. ",""))="","OK",TRIM(IF(W12="","Treatment not chosen. ","")&amp;IF(AND(W12="Accept",AX12="No"),"Accepted outside appetite: record approval by "&amp;INDEX(Settings!$G$20:$G$23,MATCH(AW12,Settings!$A$20:$A$23,0))&amp;". ","")&amp;IF(AND(W12="Accept",BG12=""),"Acceptance expiry missing. ","")&amp;IF(AND(BG12&lt;&gt;"",BG12&lt;TODAY()),"Acceptance expired. ","")&amp;IF(AND(W12&lt;&gt;"",W12&lt;&gt;"Accept",AV12=""),"Target rating not set. ","")&amp;IF(AND(BE12="Closed",AX12="No"),"Closed while outside appetite. ","")&amp;IF(AND(W12="Transfer",BE12&lt;&gt;"Transferred",BE12&lt;&gt;"Closed"),"Transfer: record the contract, SLA and audit rights. ","")&amp;IF(AZ12="","Risk owner missing. ","")&amp;IF(K12="","Scenario not written. ",""))))</f>
        <v/>
      </c>
      <c r="BM12" s="82" t="inlineStr">
        <is>
          <t>Wiki example ratings: likelihood Medium, impact High, residual High, priority 8.</t>
        </is>
      </c>
    </row>
    <row r="13" ht="105" customHeight="1">
      <c r="A13" s="78" t="inlineStr">
        <is>
          <t>AI-R09</t>
        </is>
      </c>
      <c r="B13" s="79" t="inlineStr">
        <is>
          <t>Lack of AI Auditability and Forensic Visibility</t>
        </is>
      </c>
      <c r="C13" s="80" t="inlineStr">
        <is>
          <t>07</t>
        </is>
      </c>
      <c r="D13" s="81">
        <f>IF(C13="","",IFERROR(INDEX(Lists!$O$2:$O$13,MATCH(C13,Lists!$N$2:$N$13,0)),"Check domain code"))</f>
        <v/>
      </c>
      <c r="E13" s="81">
        <f>IF(C13="","",IFERROR(INDEX(Lists!$P$2:$P$13,MATCH(C13,Lists!$N$2:$N$13,0)),""))</f>
        <v/>
      </c>
      <c r="F13" s="80" t="n"/>
      <c r="G13" s="82" t="inlineStr">
        <is>
          <t>Enterprise-wide (all AI use)</t>
        </is>
      </c>
      <c r="H13" s="82" t="n"/>
      <c r="I13" s="82" t="n"/>
      <c r="J13" s="83" t="inlineStr">
        <is>
          <t>Investigations are weak if prompts, responses, uploads, retrieved documents, model calls, tool invocations and agent decisions cannot be reconstructed. Required controls include policy-based logging, audit export, SIEM integration and retention controls.</t>
        </is>
      </c>
      <c r="K13" s="82" t="n"/>
      <c r="L13" s="82" t="n"/>
      <c r="M13" s="84" t="inlineStr">
        <is>
          <t>D7</t>
        </is>
      </c>
      <c r="N13" s="21">
        <f>IF(COUNTIF(Triage!$E$6:$E$48,"Yes")+COUNTIF(Triage!$E$6:$E$48,"No")=0,"Not triaged",IF(SUMPRODUCT(COUNTIFS(Triage!$A$6:$A$48,{"D7"},Triage!$E$6:$E$48,"Yes"))&gt;0,"Applies","Not triggered"))</f>
        <v/>
      </c>
      <c r="O13" s="82" t="n"/>
      <c r="P13" s="85" t="n"/>
      <c r="Q13" s="85" t="n">
        <v>3</v>
      </c>
      <c r="R13" s="85" t="n">
        <v>3</v>
      </c>
      <c r="S13" s="21">
        <f>IF(OR(Q13="",R13=""),"",Q13*R13)</f>
        <v/>
      </c>
      <c r="T13" s="21">
        <f>IF(S13="","",INDEX(Settings!$A$20:$A$23,MATCH(S13,Settings!$B$20:$B$23,1)))</f>
        <v/>
      </c>
      <c r="U13" s="82" t="inlineStr">
        <is>
          <t>Qualitative (4 x 4)</t>
        </is>
      </c>
      <c r="V13" s="86" t="n"/>
      <c r="W13" s="85" t="n"/>
      <c r="X13" s="82" t="n"/>
      <c r="Y13" s="87" t="inlineStr">
        <is>
          <t>AI-CTRL-008, AI-CTRL-009, AI-CTRL-035, AI-CTRL-038, AI-CTRL-043</t>
        </is>
      </c>
      <c r="Z13" s="87" t="inlineStr">
        <is>
          <t>AI-CTRL-008, AI-CTRL-035</t>
        </is>
      </c>
      <c r="AA13" s="87" t="inlineStr">
        <is>
          <t>Audit logging; SIEM integration; retention controls</t>
        </is>
      </c>
      <c r="AB13" s="87" t="inlineStr">
        <is>
          <t>Exportable audit records; SIEM event IDs; retention policy</t>
        </is>
      </c>
      <c r="AC13" s="87" t="inlineStr">
        <is>
          <t>A.3.3; A.6.2.6; A.6.2.8; A.8.3; A.8.4; A.8.5; Clause 4.2; Clause 9.1; Clause 9.2; Clause 9.3; Clause 10.2</t>
        </is>
      </c>
      <c r="AD13" s="87" t="inlineStr">
        <is>
          <t>A.5.5; A.5.6; A.5.24; A.5.25; A.5.26; A.5.27; A.5.28; A.5.31; A.5.33; A.5.35; A.5.36; A.5.37; A.6.8; A.8.15; A.8.16; A.8.17; Clause 9.2</t>
        </is>
      </c>
      <c r="AE13" s="87" t="inlineStr">
        <is>
          <t>GOVERN 1.1; GOVERN 1.5; GOVERN 4.3; GOVERN 5.1; GOVERN 6.2; MANAGE 2.3; MANAGE 4.1; MANAGE 4.2; MANAGE 4.3; MEASURE 1.2; MEASURE 1.3; MEASURE 2.4; MEASURE 2.8; MEASURE 3.1</t>
        </is>
      </c>
      <c r="AF13" s="87" t="inlineStr"/>
      <c r="AG13" s="87" t="inlineStr"/>
      <c r="AH13" s="87" t="inlineStr">
        <is>
          <t>None seen as a risk; FINOS addresses it through detective mitigations such as AIR-DET-004 and AIR-DET-021</t>
        </is>
      </c>
      <c r="AI13" s="87" t="inlineStr">
        <is>
          <t>DE.AE; DE.CM; GV.OC; GV.OV; ID.IM; PR.PS; RC.RP; RS.AN; RS.CO; RS.MA; RS.MI</t>
        </is>
      </c>
      <c r="AJ13" s="88" t="inlineStr">
        <is>
          <t>CIS 8; CIS 13; CIS 17</t>
        </is>
      </c>
      <c r="AK13" s="87" t="inlineStr">
        <is>
          <t>CC2.3; CC4.1; CC4.2; CC7.2; CC7.3; CC7.4; CC7.5</t>
        </is>
      </c>
      <c r="AL13" s="87" t="inlineStr">
        <is>
          <t>None</t>
        </is>
      </c>
      <c r="AM13" s="87" t="inlineStr">
        <is>
          <t>01 Audit and assurance; 04 Reproducibility and documentation; 07 Monitoring and observability; 07 Incident management; 12 Action integrity and traceability</t>
        </is>
      </c>
      <c r="AN13" s="87" t="inlineStr">
        <is>
          <t>MCP08:2025</t>
        </is>
      </c>
      <c r="AO13" s="87" t="inlineStr">
        <is>
          <t>OECD AI Principles: Principle 1.5; EU Ethics Guidelines: Transparency, Accountability; UNESCO Recommendation: Multi-stakeholder and adaptive governance ..., Responsibility and accountability; IEEE 7000-series: IEEE 7001-2021; Council of Europe AI Convention: Art. 9, Art. 26; G7 Hiroshima Code: Action 2, Action 4</t>
        </is>
      </c>
      <c r="AP13" s="87" t="inlineStr">
        <is>
          <t>GCC: U1, U2, U5, U11, U12, S6, S7, O1; EU: E1c, E2, E5, E6, E7; UK: UK2, UK6, UK10; US: US6, US14, US15, US17; Australia: AU3, AU3a, AU8; Brazil: BR2; Canada: CA2, CA6; China: CN7; India: IN1, IN2, IN3, IN6, IN7, IN10; Japan: JP4; Singapore: SG3, SG5, SG7, SG8, MAS 3.5, MAS 5.17, MAS 5.18 to 5.21, MAS 5.23, MAS 5.24; South: KR7</t>
        </is>
      </c>
      <c r="AQ13" s="88" t="n">
        <v>143</v>
      </c>
      <c r="AR13" s="88" t="n">
        <v>98</v>
      </c>
      <c r="AS13" s="85" t="n"/>
      <c r="AT13" s="85" t="n"/>
      <c r="AU13" s="21">
        <f>IF(OR(AS13="",AT13=""),"",AS13*AT13)</f>
        <v/>
      </c>
      <c r="AV13" s="21">
        <f>IF(AU13="","",INDEX(Settings!$A$20:$A$23,MATCH(AU13,Settings!$B$20:$B$23,1)))</f>
        <v/>
      </c>
      <c r="AW13" s="21">
        <f>IF(AV13&lt;&gt;"",AV13,T13)</f>
        <v/>
      </c>
      <c r="AX13" s="21">
        <f>IF(AW13="","",IF(MATCH(AW13,Settings!$A$20:$A$23,0)&lt;=MATCH(Settings!$C$28,Settings!$A$20:$A$23,0),"Yes","No"))</f>
        <v/>
      </c>
      <c r="AY13" s="81">
        <f>IF(AW13="","",IF(AX13="Yes",INDEX(Settings!$G$20:$G$23,MATCH(AW13,Settings!$A$20:$A$23,0)),INDEX(Settings!$G$20:$G$23,MATCH(AW13,Settings!$A$20:$A$23,0))&amp;" (outside appetite)"))</f>
        <v/>
      </c>
      <c r="AZ13" s="82" t="n"/>
      <c r="BA13" s="82" t="n"/>
      <c r="BB13" s="89" t="n"/>
      <c r="BC13" s="90">
        <f>IF(OR(BB13="",T13=""),"",BB13+INDEX(Settings!$E$20:$E$23,MATCH(T13,Settings!$A$20:$A$23,0)))</f>
        <v/>
      </c>
      <c r="BD13" s="89" t="n"/>
      <c r="BE13" s="82" t="n"/>
      <c r="BF13" s="81">
        <f>IF(A13="","",IF(OR(BE13="Closed",BE13="Accepted"),"No action",IF(BB13="","Set date identified",IF(TODAY()&gt;BC13,"Deadline exceeded",IF(BC13-TODAY()&lt;=Settings!$C$30,"Deadline approaching","On track")))))</f>
        <v/>
      </c>
      <c r="BG13" s="89" t="n"/>
      <c r="BH13" s="89" t="n"/>
      <c r="BI13" s="90">
        <f>IF(OR(BH13="",AW13=""),"",EDATE(BH13,INDEX(Settings!$F$20:$F$23,MATCH(AW13,Settings!$A$20:$A$23,0))))</f>
        <v/>
      </c>
      <c r="BJ13" s="21">
        <f>IF(T13="","",IF(MAX(IF(T13="",0,MATCH(T13,Settings!$A$20:$A$23,0)),IF(AV13="",0,MATCH(AV13,Settings!$A$20:$A$23,0)))&gt;=MATCH(Settings!$C$29,Settings!$A$20:$A$23,0),"Yes","No"))</f>
        <v/>
      </c>
      <c r="BK13" s="82" t="n"/>
      <c r="BL13" s="81">
        <f>IF(A13="","",IF(TRIM(IF(W13="","Treatment not chosen. ","")&amp;IF(AND(W13="Accept",AX13="No"),"Accepted outside appetite: record approval by "&amp;INDEX(Settings!$G$20:$G$23,MATCH(AW13,Settings!$A$20:$A$23,0))&amp;". ","")&amp;IF(AND(W13="Accept",BG13=""),"Acceptance expiry missing. ","")&amp;IF(AND(BG13&lt;&gt;"",BG13&lt;TODAY()),"Acceptance expired. ","")&amp;IF(AND(W13&lt;&gt;"",W13&lt;&gt;"Accept",AV13=""),"Target rating not set. ","")&amp;IF(AND(BE13="Closed",AX13="No"),"Closed while outside appetite. ","")&amp;IF(AND(W13="Transfer",BE13&lt;&gt;"Transferred",BE13&lt;&gt;"Closed"),"Transfer: record the contract, SLA and audit rights. ","")&amp;IF(AZ13="","Risk owner missing. ","")&amp;IF(K13="","Scenario not written. ",""))="","OK",TRIM(IF(W13="","Treatment not chosen. ","")&amp;IF(AND(W13="Accept",AX13="No"),"Accepted outside appetite: record approval by "&amp;INDEX(Settings!$G$20:$G$23,MATCH(AW13,Settings!$A$20:$A$23,0))&amp;". ","")&amp;IF(AND(W13="Accept",BG13=""),"Acceptance expiry missing. ","")&amp;IF(AND(BG13&lt;&gt;"",BG13&lt;TODAY()),"Acceptance expired. ","")&amp;IF(AND(W13&lt;&gt;"",W13&lt;&gt;"Accept",AV13=""),"Target rating not set. ","")&amp;IF(AND(BE13="Closed",AX13="No"),"Closed while outside appetite. ","")&amp;IF(AND(W13="Transfer",BE13&lt;&gt;"Transferred",BE13&lt;&gt;"Closed"),"Transfer: record the contract, SLA and audit rights. ","")&amp;IF(AZ13="","Risk owner missing. ","")&amp;IF(K13="","Scenario not written. ",""))))</f>
        <v/>
      </c>
      <c r="BM13" s="82" t="inlineStr">
        <is>
          <t>Wiki example ratings: likelihood High, impact High, residual High, priority 9.</t>
        </is>
      </c>
    </row>
    <row r="14" ht="105" customHeight="1">
      <c r="A14" s="91" t="inlineStr">
        <is>
          <t>AI-R10</t>
        </is>
      </c>
      <c r="B14" s="92" t="inlineStr">
        <is>
          <t>Data Sovereignty and Third-Party Processing Risk</t>
        </is>
      </c>
      <c r="C14" s="80" t="inlineStr">
        <is>
          <t>08</t>
        </is>
      </c>
      <c r="D14" s="81">
        <f>IF(C14="","",IFERROR(INDEX(Lists!$O$2:$O$13,MATCH(C14,Lists!$N$2:$N$13,0)),"Check domain code"))</f>
        <v/>
      </c>
      <c r="E14" s="81">
        <f>IF(C14="","",IFERROR(INDEX(Lists!$P$2:$P$13,MATCH(C14,Lists!$N$2:$N$13,0)),""))</f>
        <v/>
      </c>
      <c r="F14" s="80" t="n"/>
      <c r="G14" s="82" t="inlineStr">
        <is>
          <t>Enterprise-wide (all AI use)</t>
        </is>
      </c>
      <c r="H14" s="82" t="n"/>
      <c r="I14" s="82" t="n"/>
      <c r="J14" s="93" t="inlineStr">
        <is>
          <t>AI platforms may process or retain prompts, uploads, metadata and logs in external locations. Required controls include data residency validation, training exclusion, retention configuration, administrative access logging and deployment model assessment.</t>
        </is>
      </c>
      <c r="K14" s="82" t="n"/>
      <c r="L14" s="82" t="n"/>
      <c r="M14" s="94" t="inlineStr">
        <is>
          <t>B3; B4</t>
        </is>
      </c>
      <c r="N14" s="21">
        <f>IF(COUNTIF(Triage!$E$6:$E$48,"Yes")+COUNTIF(Triage!$E$6:$E$48,"No")=0,"Not triaged",IF(SUMPRODUCT(COUNTIFS(Triage!$A$6:$A$48,{"B3","B4"},Triage!$E$6:$E$48,"Yes"))&gt;0,"Applies","Not triggered"))</f>
        <v/>
      </c>
      <c r="O14" s="82" t="n"/>
      <c r="P14" s="85" t="n"/>
      <c r="Q14" s="85" t="n">
        <v>2</v>
      </c>
      <c r="R14" s="85" t="n">
        <v>4</v>
      </c>
      <c r="S14" s="21">
        <f>IF(OR(Q14="",R14=""),"",Q14*R14)</f>
        <v/>
      </c>
      <c r="T14" s="21">
        <f>IF(S14="","",INDEX(Settings!$A$20:$A$23,MATCH(S14,Settings!$B$20:$B$23,1)))</f>
        <v/>
      </c>
      <c r="U14" s="82" t="inlineStr">
        <is>
          <t>Qualitative (4 x 4)</t>
        </is>
      </c>
      <c r="V14" s="86" t="n"/>
      <c r="W14" s="85" t="n"/>
      <c r="X14" s="82" t="n"/>
      <c r="Y14" s="95" t="inlineStr">
        <is>
          <t>AI-CTRL-007, AI-CTRL-013, AI-CTRL-014, AI-CTRL-032, AI-CTRL-042, AI-CTRL-043</t>
        </is>
      </c>
      <c r="Z14" s="95" t="inlineStr">
        <is>
          <t>AI-CTRL-013, AI-CTRL-014</t>
        </is>
      </c>
      <c r="AA14" s="95" t="inlineStr">
        <is>
          <t>Residency; retention; training exclusion; admin access logging</t>
        </is>
      </c>
      <c r="AB14" s="95" t="inlineStr">
        <is>
          <t>Vendor documentation; DPA clauses; residency attestation; admin logs</t>
        </is>
      </c>
      <c r="AC14" s="95" t="inlineStr">
        <is>
          <t>A.4.5; A.5.2; A.5.3; A.5.4; A.5.5; A.8.3; A.8.5; A.10.2; A.10.3; Clause 4.2</t>
        </is>
      </c>
      <c r="AD14" s="95" t="inlineStr">
        <is>
          <t>A.5.5; A.5.6; A.5.8; A.5.11; A.5.14; A.5.19; A.5.20; A.5.21; A.5.22; A.5.23; A.5.31; A.5.33; A.5.34; A.8.8; A.8.9; A.8.10; A.8.11; A.8.20; A.8.21; A.8.22; A.8.24</t>
        </is>
      </c>
      <c r="AE14" s="95" t="inlineStr">
        <is>
          <t>GOVERN 1.1; GOVERN 5.1; GOVERN 6.1; GOVERN 6.2; MANAGE 3.1; MAP 1.1; MAP 4.1; MAP 4.2; MAP 5.1; MEASURE 2.7; MEASURE 2.10</t>
        </is>
      </c>
      <c r="AF14" s="95" t="inlineStr">
        <is>
          <t>LLM02:2025; LLM03:2025</t>
        </is>
      </c>
      <c r="AG14" s="95" t="inlineStr">
        <is>
          <t>AML.T0010; AML.T0025; AML.T0049; AML.T0055; AML.T0057; AML.T0109; AML.T0132</t>
        </is>
      </c>
      <c r="AH14" s="95" t="inlineStr">
        <is>
          <t>AIR-RC-001</t>
        </is>
      </c>
      <c r="AI14" s="95" t="inlineStr">
        <is>
          <t>GV.OC; GV.SC; ID.RA; PR.DS; PR.IR; PR.PS; RS.CO</t>
        </is>
      </c>
      <c r="AJ14" s="96" t="inlineStr">
        <is>
          <t>CIS 3; CIS 4; CIS 7; CIS 12; CIS 13; CIS 15; CIS 17</t>
        </is>
      </c>
      <c r="AK14" s="95" t="inlineStr">
        <is>
          <t>C1.1; C1.2; CC2.3; CC3.2; CC6.1; CC6.6; CC7.1; CC9.2; P1.1; P3.1; P4.1; P4.2; P5.1</t>
        </is>
      </c>
      <c r="AL14" s="95" t="inlineStr">
        <is>
          <t>Data Privacy</t>
        </is>
      </c>
      <c r="AM14" s="95" t="inlineStr">
        <is>
          <t>03 Privacy and consent; 08 Contractual and licensing; 08 Cross-border; 09 Vendor due diligence</t>
        </is>
      </c>
      <c r="AN14" s="95" t="inlineStr">
        <is>
          <t>None</t>
        </is>
      </c>
      <c r="AO14" s="95" t="inlineStr">
        <is>
          <t>OECD AI Principles: Principle 1.2, Principle 1.3; EU Ethics Guidelines: Privacy and data governance; UNESCO Recommendation: Proportionality and do no harm, Right to privacy and data protection, Multi-stakeholder and adaptive governance ...; IEEE 7000-series: IEEE 7000-2021, IEEE 7002-2022; Council of Europe AI Convention: Art. 7, Art. 11, Art. 16, Art. 26; G7 Hiroshima Code: Action 4, Action 6, Action 11</t>
        </is>
      </c>
      <c r="AP14" s="95" t="inlineStr">
        <is>
          <t>GCC: U1, U5, U6, U7, U9, U11, S1, S6, S7, S10, Q1, B1, O2; EU: E1c, E1e, E2, E3, E4, E6, E9, E13, E15, E17; UK: UK2, UK3, UK4, UK13; US: US5, US8, US9, US15, US16, US17; Australia: AU2, AU3, AU3a, AU8; Brazil: BR2, BR3, BR4; Canada: CA2, CA3, CA7; China: CN1, CN2, CN7, CN9; India: IN1, IN2, IN3, IN5, IN7, IN11, IN13; Japan: JP4, JP6; Singapore: SG4, SG5, MAS 5.4, MAS 5.10 to 5.11, MAS 5.16, MAS 5.22, MAS 6.3; South: KR7</t>
        </is>
      </c>
      <c r="AQ14" s="96" t="n">
        <v>207</v>
      </c>
      <c r="AR14" s="96" t="n">
        <v>107</v>
      </c>
      <c r="AS14" s="85" t="n"/>
      <c r="AT14" s="85" t="n"/>
      <c r="AU14" s="21">
        <f>IF(OR(AS14="",AT14=""),"",AS14*AT14)</f>
        <v/>
      </c>
      <c r="AV14" s="21">
        <f>IF(AU14="","",INDEX(Settings!$A$20:$A$23,MATCH(AU14,Settings!$B$20:$B$23,1)))</f>
        <v/>
      </c>
      <c r="AW14" s="21">
        <f>IF(AV14&lt;&gt;"",AV14,T14)</f>
        <v/>
      </c>
      <c r="AX14" s="21">
        <f>IF(AW14="","",IF(MATCH(AW14,Settings!$A$20:$A$23,0)&lt;=MATCH(Settings!$C$28,Settings!$A$20:$A$23,0),"Yes","No"))</f>
        <v/>
      </c>
      <c r="AY14" s="81">
        <f>IF(AW14="","",IF(AX14="Yes",INDEX(Settings!$G$20:$G$23,MATCH(AW14,Settings!$A$20:$A$23,0)),INDEX(Settings!$G$20:$G$23,MATCH(AW14,Settings!$A$20:$A$23,0))&amp;" (outside appetite)"))</f>
        <v/>
      </c>
      <c r="AZ14" s="82" t="n"/>
      <c r="BA14" s="82" t="n"/>
      <c r="BB14" s="89" t="n"/>
      <c r="BC14" s="90">
        <f>IF(OR(BB14="",T14=""),"",BB14+INDEX(Settings!$E$20:$E$23,MATCH(T14,Settings!$A$20:$A$23,0)))</f>
        <v/>
      </c>
      <c r="BD14" s="89" t="n"/>
      <c r="BE14" s="82" t="n"/>
      <c r="BF14" s="81">
        <f>IF(A14="","",IF(OR(BE14="Closed",BE14="Accepted"),"No action",IF(BB14="","Set date identified",IF(TODAY()&gt;BC14,"Deadline exceeded",IF(BC14-TODAY()&lt;=Settings!$C$30,"Deadline approaching","On track")))))</f>
        <v/>
      </c>
      <c r="BG14" s="89" t="n"/>
      <c r="BH14" s="89" t="n"/>
      <c r="BI14" s="90">
        <f>IF(OR(BH14="",AW14=""),"",EDATE(BH14,INDEX(Settings!$F$20:$F$23,MATCH(AW14,Settings!$A$20:$A$23,0))))</f>
        <v/>
      </c>
      <c r="BJ14" s="21">
        <f>IF(T14="","",IF(MAX(IF(T14="",0,MATCH(T14,Settings!$A$20:$A$23,0)),IF(AV14="",0,MATCH(AV14,Settings!$A$20:$A$23,0)))&gt;=MATCH(Settings!$C$29,Settings!$A$20:$A$23,0),"Yes","No"))</f>
        <v/>
      </c>
      <c r="BK14" s="82" t="n"/>
      <c r="BL14" s="81">
        <f>IF(A14="","",IF(TRIM(IF(W14="","Treatment not chosen. ","")&amp;IF(AND(W14="Accept",AX14="No"),"Accepted outside appetite: record approval by "&amp;INDEX(Settings!$G$20:$G$23,MATCH(AW14,Settings!$A$20:$A$23,0))&amp;". ","")&amp;IF(AND(W14="Accept",BG14=""),"Acceptance expiry missing. ","")&amp;IF(AND(BG14&lt;&gt;"",BG14&lt;TODAY()),"Acceptance expired. ","")&amp;IF(AND(W14&lt;&gt;"",W14&lt;&gt;"Accept",AV14=""),"Target rating not set. ","")&amp;IF(AND(BE14="Closed",AX14="No"),"Closed while outside appetite. ","")&amp;IF(AND(W14="Transfer",BE14&lt;&gt;"Transferred",BE14&lt;&gt;"Closed"),"Transfer: record the contract, SLA and audit rights. ","")&amp;IF(AZ14="","Risk owner missing. ","")&amp;IF(K14="","Scenario not written. ",""))="","OK",TRIM(IF(W14="","Treatment not chosen. ","")&amp;IF(AND(W14="Accept",AX14="No"),"Accepted outside appetite: record approval by "&amp;INDEX(Settings!$G$20:$G$23,MATCH(AW14,Settings!$A$20:$A$23,0))&amp;". ","")&amp;IF(AND(W14="Accept",BG14=""),"Acceptance expiry missing. ","")&amp;IF(AND(BG14&lt;&gt;"",BG14&lt;TODAY()),"Acceptance expired. ","")&amp;IF(AND(W14&lt;&gt;"",W14&lt;&gt;"Accept",AV14=""),"Target rating not set. ","")&amp;IF(AND(BE14="Closed",AX14="No"),"Closed while outside appetite. ","")&amp;IF(AND(W14="Transfer",BE14&lt;&gt;"Transferred",BE14&lt;&gt;"Closed"),"Transfer: record the contract, SLA and audit rights. ","")&amp;IF(AZ14="","Risk owner missing. ","")&amp;IF(K14="","Scenario not written. ",""))))</f>
        <v/>
      </c>
      <c r="BM14" s="82" t="inlineStr">
        <is>
          <t>Wiki example ratings: likelihood Medium, impact Critical, residual High, priority 10.</t>
        </is>
      </c>
    </row>
    <row r="15" ht="105" customHeight="1">
      <c r="A15" s="78" t="inlineStr">
        <is>
          <t>AI-R11</t>
        </is>
      </c>
      <c r="B15" s="79" t="inlineStr">
        <is>
          <t>AI Cost Abuse and Resource Exhaustion</t>
        </is>
      </c>
      <c r="C15" s="80" t="inlineStr">
        <is>
          <t>07</t>
        </is>
      </c>
      <c r="D15" s="81">
        <f>IF(C15="","",IFERROR(INDEX(Lists!$O$2:$O$13,MATCH(C15,Lists!$N$2:$N$13,0)),"Check domain code"))</f>
        <v/>
      </c>
      <c r="E15" s="81">
        <f>IF(C15="","",IFERROR(INDEX(Lists!$P$2:$P$13,MATCH(C15,Lists!$N$2:$N$13,0)),""))</f>
        <v/>
      </c>
      <c r="F15" s="80" t="n"/>
      <c r="G15" s="82" t="inlineStr">
        <is>
          <t>Enterprise-wide (all AI use)</t>
        </is>
      </c>
      <c r="H15" s="82" t="n"/>
      <c r="I15" s="82" t="n"/>
      <c r="J15" s="83" t="inlineStr">
        <is>
          <t>AI usage is metered, so leaked keys, automated traffic against public endpoints, runaway agents and retry loops can exhaust budget or capacity within hours. Required controls include cost attribution, budgets and quotas with enforcement, rate limits, spend anomaly detection, key revocation and limits on agent loops.</t>
        </is>
      </c>
      <c r="K15" s="82" t="n"/>
      <c r="L15" s="82" t="n"/>
      <c r="M15" s="84" t="inlineStr">
        <is>
          <t>D2</t>
        </is>
      </c>
      <c r="N15" s="21">
        <f>IF(COUNTIF(Triage!$E$6:$E$48,"Yes")+COUNTIF(Triage!$E$6:$E$48,"No")=0,"Not triaged",IF(SUMPRODUCT(COUNTIFS(Triage!$A$6:$A$48,{"D2"},Triage!$E$6:$E$48,"Yes"))&gt;0,"Applies","Not triggered"))</f>
        <v/>
      </c>
      <c r="O15" s="82" t="n"/>
      <c r="P15" s="85" t="n"/>
      <c r="Q15" s="85" t="n">
        <v>2</v>
      </c>
      <c r="R15" s="85" t="n">
        <v>3</v>
      </c>
      <c r="S15" s="21">
        <f>IF(OR(Q15="",R15=""),"",Q15*R15)</f>
        <v/>
      </c>
      <c r="T15" s="21">
        <f>IF(S15="","",INDEX(Settings!$A$20:$A$23,MATCH(S15,Settings!$B$20:$B$23,1)))</f>
        <v/>
      </c>
      <c r="U15" s="82" t="inlineStr">
        <is>
          <t>Qualitative (4 x 4)</t>
        </is>
      </c>
      <c r="V15" s="86" t="n"/>
      <c r="W15" s="85" t="n"/>
      <c r="X15" s="82" t="n"/>
      <c r="Y15" s="87" t="inlineStr">
        <is>
          <t>AI-CTRL-025, AI-CTRL-036</t>
        </is>
      </c>
      <c r="Z15" s="87" t="inlineStr">
        <is>
          <t>AI-CTRL-025, AI-CTRL-036</t>
        </is>
      </c>
      <c r="AA15" s="87" t="inlineStr">
        <is>
          <t>Cost attribution; budgets, quotas and rate limits; spend anomaly detection; agent task limits</t>
        </is>
      </c>
      <c r="AB15" s="87" t="inlineStr">
        <is>
          <t>Cost attribution reports; budget and quota configuration; anomaly alerts; key revocation records</t>
        </is>
      </c>
      <c r="AC15" s="87" t="inlineStr">
        <is>
          <t>A.4.5; A.6.2.6</t>
        </is>
      </c>
      <c r="AD15" s="87" t="inlineStr">
        <is>
          <t>A.5.18; A.5.26; A.8.6; A.8.16</t>
        </is>
      </c>
      <c r="AE15" s="87" t="inlineStr">
        <is>
          <t>MANAGE 2.3; MANAGE 2.4; MANAGE 4.1; MEASURE 2.7</t>
        </is>
      </c>
      <c r="AF15" s="87" t="inlineStr">
        <is>
          <t>ASI08; ASI10; LLM06:2025; LLM10:2025</t>
        </is>
      </c>
      <c r="AG15" s="87" t="inlineStr">
        <is>
          <t>AML.T0029; AML.T0034; AML.T0046; AML.T0053</t>
        </is>
      </c>
      <c r="AH15" s="87" t="inlineStr">
        <is>
          <t>None seen as a risk; related mitigation AIR-DET-009</t>
        </is>
      </c>
      <c r="AI15" s="87" t="inlineStr">
        <is>
          <t>DE.CM; PR.IR; RS.MA; RS.MI</t>
        </is>
      </c>
      <c r="AJ15" s="88" t="inlineStr">
        <is>
          <t>CIS 6; CIS 17</t>
        </is>
      </c>
      <c r="AK15" s="87" t="inlineStr">
        <is>
          <t>A1.1; CC6.2; CC7.4</t>
        </is>
      </c>
      <c r="AL15" s="87" t="inlineStr">
        <is>
          <t>None</t>
        </is>
      </c>
      <c r="AM15" s="87" t="inlineStr">
        <is>
          <t>07 Availability and scalability; 11 Cost and compute economics</t>
        </is>
      </c>
      <c r="AN15" s="87" t="inlineStr">
        <is>
          <t>None</t>
        </is>
      </c>
      <c r="AO15" s="87" t="inlineStr">
        <is>
          <t>OECD AI Principles: Principle 1.4; EU Ethics Guidelines: Human agency and oversight; G7 Hiroshima Code: Action 2</t>
        </is>
      </c>
      <c r="AP15" s="87" t="inlineStr">
        <is>
          <t>GCC: U9; India: IN6, IN13; Singapore: SG2, SG5, SG7, MAS 5.3</t>
        </is>
      </c>
      <c r="AQ15" s="88" t="n">
        <v>57</v>
      </c>
      <c r="AR15" s="88" t="n">
        <v>41</v>
      </c>
      <c r="AS15" s="85" t="n"/>
      <c r="AT15" s="85" t="n"/>
      <c r="AU15" s="21">
        <f>IF(OR(AS15="",AT15=""),"",AS15*AT15)</f>
        <v/>
      </c>
      <c r="AV15" s="21">
        <f>IF(AU15="","",INDEX(Settings!$A$20:$A$23,MATCH(AU15,Settings!$B$20:$B$23,1)))</f>
        <v/>
      </c>
      <c r="AW15" s="21">
        <f>IF(AV15&lt;&gt;"",AV15,T15)</f>
        <v/>
      </c>
      <c r="AX15" s="21">
        <f>IF(AW15="","",IF(MATCH(AW15,Settings!$A$20:$A$23,0)&lt;=MATCH(Settings!$C$28,Settings!$A$20:$A$23,0),"Yes","No"))</f>
        <v/>
      </c>
      <c r="AY15" s="81">
        <f>IF(AW15="","",IF(AX15="Yes",INDEX(Settings!$G$20:$G$23,MATCH(AW15,Settings!$A$20:$A$23,0)),INDEX(Settings!$G$20:$G$23,MATCH(AW15,Settings!$A$20:$A$23,0))&amp;" (outside appetite)"))</f>
        <v/>
      </c>
      <c r="AZ15" s="82" t="n"/>
      <c r="BA15" s="82" t="n"/>
      <c r="BB15" s="89" t="n"/>
      <c r="BC15" s="90">
        <f>IF(OR(BB15="",T15=""),"",BB15+INDEX(Settings!$E$20:$E$23,MATCH(T15,Settings!$A$20:$A$23,0)))</f>
        <v/>
      </c>
      <c r="BD15" s="89" t="n"/>
      <c r="BE15" s="82" t="n"/>
      <c r="BF15" s="81">
        <f>IF(A15="","",IF(OR(BE15="Closed",BE15="Accepted"),"No action",IF(BB15="","Set date identified",IF(TODAY()&gt;BC15,"Deadline exceeded",IF(BC15-TODAY()&lt;=Settings!$C$30,"Deadline approaching","On track")))))</f>
        <v/>
      </c>
      <c r="BG15" s="89" t="n"/>
      <c r="BH15" s="89" t="n"/>
      <c r="BI15" s="90">
        <f>IF(OR(BH15="",AW15=""),"",EDATE(BH15,INDEX(Settings!$F$20:$F$23,MATCH(AW15,Settings!$A$20:$A$23,0))))</f>
        <v/>
      </c>
      <c r="BJ15" s="21">
        <f>IF(T15="","",IF(MAX(IF(T15="",0,MATCH(T15,Settings!$A$20:$A$23,0)),IF(AV15="",0,MATCH(AV15,Settings!$A$20:$A$23,0)))&gt;=MATCH(Settings!$C$29,Settings!$A$20:$A$23,0),"Yes","No"))</f>
        <v/>
      </c>
      <c r="BK15" s="82" t="n"/>
      <c r="BL15" s="81">
        <f>IF(A15="","",IF(TRIM(IF(W15="","Treatment not chosen. ","")&amp;IF(AND(W15="Accept",AX15="No"),"Accepted outside appetite: record approval by "&amp;INDEX(Settings!$G$20:$G$23,MATCH(AW15,Settings!$A$20:$A$23,0))&amp;". ","")&amp;IF(AND(W15="Accept",BG15=""),"Acceptance expiry missing. ","")&amp;IF(AND(BG15&lt;&gt;"",BG15&lt;TODAY()),"Acceptance expired. ","")&amp;IF(AND(W15&lt;&gt;"",W15&lt;&gt;"Accept",AV15=""),"Target rating not set. ","")&amp;IF(AND(BE15="Closed",AX15="No"),"Closed while outside appetite. ","")&amp;IF(AND(W15="Transfer",BE15&lt;&gt;"Transferred",BE15&lt;&gt;"Closed"),"Transfer: record the contract, SLA and audit rights. ","")&amp;IF(AZ15="","Risk owner missing. ","")&amp;IF(K15="","Scenario not written. ",""))="","OK",TRIM(IF(W15="","Treatment not chosen. ","")&amp;IF(AND(W15="Accept",AX15="No"),"Accepted outside appetite: record approval by "&amp;INDEX(Settings!$G$20:$G$23,MATCH(AW15,Settings!$A$20:$A$23,0))&amp;". ","")&amp;IF(AND(W15="Accept",BG15=""),"Acceptance expiry missing. ","")&amp;IF(AND(BG15&lt;&gt;"",BG15&lt;TODAY()),"Acceptance expired. ","")&amp;IF(AND(W15&lt;&gt;"",W15&lt;&gt;"Accept",AV15=""),"Target rating not set. ","")&amp;IF(AND(BE15="Closed",AX15="No"),"Closed while outside appetite. ","")&amp;IF(AND(W15="Transfer",BE15&lt;&gt;"Transferred",BE15&lt;&gt;"Closed"),"Transfer: record the contract, SLA and audit rights. ","")&amp;IF(AZ15="","Risk owner missing. ","")&amp;IF(K15="","Scenario not written. ",""))))</f>
        <v/>
      </c>
      <c r="BM15" s="82" t="inlineStr">
        <is>
          <t>Wiki example ratings: likelihood Medium, impact High, residual High, priority 11.</t>
        </is>
      </c>
    </row>
    <row r="16" ht="105" customHeight="1">
      <c r="A16" s="91" t="inlineStr">
        <is>
          <t>AI-R12</t>
        </is>
      </c>
      <c r="B16" s="92" t="inlineStr">
        <is>
          <t>Unreliable or Harmful AI Output</t>
        </is>
      </c>
      <c r="C16" s="80" t="inlineStr">
        <is>
          <t>06</t>
        </is>
      </c>
      <c r="D16" s="81">
        <f>IF(C16="","",IFERROR(INDEX(Lists!$O$2:$O$13,MATCH(C16,Lists!$N$2:$N$13,0)),"Check domain code"))</f>
        <v/>
      </c>
      <c r="E16" s="81">
        <f>IF(C16="","",IFERROR(INDEX(Lists!$P$2:$P$13,MATCH(C16,Lists!$N$2:$N$13,0)),""))</f>
        <v/>
      </c>
      <c r="F16" s="80" t="n"/>
      <c r="G16" s="82" t="inlineStr">
        <is>
          <t>Enterprise-wide (all AI use)</t>
        </is>
      </c>
      <c r="H16" s="82" t="n"/>
      <c r="I16" s="82" t="n"/>
      <c r="J16" s="93" t="inlineStr">
        <is>
          <t>AI systems can give confident wrong answers, invent sources, packages and links, drift outside their approved scope or produce harmful content, and people act on the result. Required controls include grounding in approved sources, citation verification, topic restriction, harmful content filtering and factuality evaluation.</t>
        </is>
      </c>
      <c r="K16" s="82" t="n"/>
      <c r="L16" s="82" t="n"/>
      <c r="M16" s="94" t="inlineStr">
        <is>
          <t>C2; C3; C5</t>
        </is>
      </c>
      <c r="N16" s="21">
        <f>IF(COUNTIF(Triage!$E$6:$E$48,"Yes")+COUNTIF(Triage!$E$6:$E$48,"No")=0,"Not triaged",IF(SUMPRODUCT(COUNTIFS(Triage!$A$6:$A$48,{"C2","C3","C5"},Triage!$E$6:$E$48,"Yes"))&gt;0,"Applies","Not triggered"))</f>
        <v/>
      </c>
      <c r="O16" s="82" t="n"/>
      <c r="P16" s="85" t="n"/>
      <c r="Q16" s="85" t="n">
        <v>2</v>
      </c>
      <c r="R16" s="85" t="n">
        <v>3</v>
      </c>
      <c r="S16" s="21">
        <f>IF(OR(Q16="",R16=""),"",Q16*R16)</f>
        <v/>
      </c>
      <c r="T16" s="21">
        <f>IF(S16="","",INDEX(Settings!$A$20:$A$23,MATCH(S16,Settings!$B$20:$B$23,1)))</f>
        <v/>
      </c>
      <c r="U16" s="82" t="inlineStr">
        <is>
          <t>Qualitative (4 x 4)</t>
        </is>
      </c>
      <c r="V16" s="86" t="n"/>
      <c r="W16" s="85" t="n"/>
      <c r="X16" s="82" t="n"/>
      <c r="Y16" s="95" t="inlineStr">
        <is>
          <t>AI-CTRL-039, AI-CTRL-041, AI-CTRL-042, AI-CTRL-045</t>
        </is>
      </c>
      <c r="Z16" s="95" t="inlineStr">
        <is>
          <t>None (all Advanced)</t>
        </is>
      </c>
      <c r="AA16" s="95" t="inlineStr">
        <is>
          <t>Grounding and citation verification; topic restriction; harmful content filtering; factuality evaluation</t>
        </is>
      </c>
      <c r="AB16" s="95" t="inlineStr">
        <is>
          <t>Grounding test results; topic policy; content filter results; factuality baseline</t>
        </is>
      </c>
      <c r="AC16" s="95" t="inlineStr">
        <is>
          <t>A.5.2; A.5.3; A.5.4; A.5.5; A.6.2.4; A.8.2; A.9.2; A.9.3; A.10.4</t>
        </is>
      </c>
      <c r="AD16" s="95" t="inlineStr">
        <is>
          <t>A.5.8; A.5.31; A.5.34</t>
        </is>
      </c>
      <c r="AE16" s="95" t="inlineStr">
        <is>
          <t>GOVERN 1.1; GOVERN 3.2; MAP 1.1; MAP 2.2; MAP 3.5; MAP 5.1; MEASURE 2.5; MEASURE 2.6; MEASURE 2.9; MEASURE 2.11</t>
        </is>
      </c>
      <c r="AF16" s="95" t="inlineStr">
        <is>
          <t>ASI09; LLM06:2025; LLM09:2025</t>
        </is>
      </c>
      <c r="AG16" s="95" t="inlineStr">
        <is>
          <t>AML.T0048; AML.T0060; AML.T0062</t>
        </is>
      </c>
      <c r="AH16" s="95" t="inlineStr">
        <is>
          <t>AIR-OP-004</t>
        </is>
      </c>
      <c r="AI16" s="95" t="inlineStr">
        <is>
          <t>GV.OC; GV.RR; ID.RA</t>
        </is>
      </c>
      <c r="AJ16" s="96" t="inlineStr"/>
      <c r="AK16" s="95" t="inlineStr">
        <is>
          <t>CC3.2; PI1.3; PI1.4</t>
        </is>
      </c>
      <c r="AL16" s="95" t="inlineStr">
        <is>
          <t>CBRN Information or Capabilities; Confabulation; Dangerous, Violent, or Hateful Content; Information Integrity; Obscene, Degrading, and/or Abusive Content</t>
        </is>
      </c>
      <c r="AM16" s="95" t="inlineStr">
        <is>
          <t>04 Accuracy and validation; 06 Harmful / inaccurate output; 06 Misuse and dual-use</t>
        </is>
      </c>
      <c r="AN16" s="95" t="inlineStr">
        <is>
          <t>None</t>
        </is>
      </c>
      <c r="AO16" s="95" t="inlineStr">
        <is>
          <t>OECD AI Principles: Principle 1.2, Principle 1.3; EU Ethics Guidelines: Human agency and oversight, Transparency, Diversity, non-discrimination and fairness; UNESCO Recommendation: Proportionality and do no harm, Transparency and explainability, Human oversight and determination, Fairness and non-discrimination; IEEE 7000-series: IEEE 7000-2021, IEEE 7001-2021, IEEE 7002-2022, IEEE 7003-2024; Council of Europe AI Convention: Art. 7, Art. 8, Art. 10, Art. 12, 14, 15, Art. 16; G7 Hiroshima Code: Action 3, Action 7</t>
        </is>
      </c>
      <c r="AP16" s="95" t="inlineStr">
        <is>
          <t>GCC: U3, U4, U6, U9, S2, Q3, Q4; EU: E1c, E1d, E10, E16; UK: UK1, UK3, UK4, UK7, UK11, UK12, UK13; US: US5, US7, US8, US10, US11, US12, US14, US15, US16; Australia: AU2, AU6, AU6a; Brazil: BR1, BR4; Canada: CA3, CA4, CA5, CA7; China: CN1, CN2, CN3, CN4, CN5, CN6; India: IN4, IN5, IN6, IN9, IN13; Japan: JP3; Singapore: SG1, SG3, SG5, SG6, MAS 5.5 to 5.6, MAS 5.7 to 5.8, MAS 5.9, MAS 5.14 to 5.15; South: KR2, KR3</t>
        </is>
      </c>
      <c r="AQ16" s="96" t="n">
        <v>163</v>
      </c>
      <c r="AR16" s="96" t="n">
        <v>23</v>
      </c>
      <c r="AS16" s="85" t="n"/>
      <c r="AT16" s="85" t="n"/>
      <c r="AU16" s="21">
        <f>IF(OR(AS16="",AT16=""),"",AS16*AT16)</f>
        <v/>
      </c>
      <c r="AV16" s="21">
        <f>IF(AU16="","",INDEX(Settings!$A$20:$A$23,MATCH(AU16,Settings!$B$20:$B$23,1)))</f>
        <v/>
      </c>
      <c r="AW16" s="21">
        <f>IF(AV16&lt;&gt;"",AV16,T16)</f>
        <v/>
      </c>
      <c r="AX16" s="21">
        <f>IF(AW16="","",IF(MATCH(AW16,Settings!$A$20:$A$23,0)&lt;=MATCH(Settings!$C$28,Settings!$A$20:$A$23,0),"Yes","No"))</f>
        <v/>
      </c>
      <c r="AY16" s="81">
        <f>IF(AW16="","",IF(AX16="Yes",INDEX(Settings!$G$20:$G$23,MATCH(AW16,Settings!$A$20:$A$23,0)),INDEX(Settings!$G$20:$G$23,MATCH(AW16,Settings!$A$20:$A$23,0))&amp;" (outside appetite)"))</f>
        <v/>
      </c>
      <c r="AZ16" s="82" t="n"/>
      <c r="BA16" s="82" t="n"/>
      <c r="BB16" s="89" t="n"/>
      <c r="BC16" s="90">
        <f>IF(OR(BB16="",T16=""),"",BB16+INDEX(Settings!$E$20:$E$23,MATCH(T16,Settings!$A$20:$A$23,0)))</f>
        <v/>
      </c>
      <c r="BD16" s="89" t="n"/>
      <c r="BE16" s="82" t="n"/>
      <c r="BF16" s="81">
        <f>IF(A16="","",IF(OR(BE16="Closed",BE16="Accepted"),"No action",IF(BB16="","Set date identified",IF(TODAY()&gt;BC16,"Deadline exceeded",IF(BC16-TODAY()&lt;=Settings!$C$30,"Deadline approaching","On track")))))</f>
        <v/>
      </c>
      <c r="BG16" s="89" t="n"/>
      <c r="BH16" s="89" t="n"/>
      <c r="BI16" s="90">
        <f>IF(OR(BH16="",AW16=""),"",EDATE(BH16,INDEX(Settings!$F$20:$F$23,MATCH(AW16,Settings!$A$20:$A$23,0))))</f>
        <v/>
      </c>
      <c r="BJ16" s="21">
        <f>IF(T16="","",IF(MAX(IF(T16="",0,MATCH(T16,Settings!$A$20:$A$23,0)),IF(AV16="",0,MATCH(AV16,Settings!$A$20:$A$23,0)))&gt;=MATCH(Settings!$C$29,Settings!$A$20:$A$23,0),"Yes","No"))</f>
        <v/>
      </c>
      <c r="BK16" s="82" t="n"/>
      <c r="BL16" s="81">
        <f>IF(A16="","",IF(TRIM(IF(W16="","Treatment not chosen. ","")&amp;IF(AND(W16="Accept",AX16="No"),"Accepted outside appetite: record approval by "&amp;INDEX(Settings!$G$20:$G$23,MATCH(AW16,Settings!$A$20:$A$23,0))&amp;". ","")&amp;IF(AND(W16="Accept",BG16=""),"Acceptance expiry missing. ","")&amp;IF(AND(BG16&lt;&gt;"",BG16&lt;TODAY()),"Acceptance expired. ","")&amp;IF(AND(W16&lt;&gt;"",W16&lt;&gt;"Accept",AV16=""),"Target rating not set. ","")&amp;IF(AND(BE16="Closed",AX16="No"),"Closed while outside appetite. ","")&amp;IF(AND(W16="Transfer",BE16&lt;&gt;"Transferred",BE16&lt;&gt;"Closed"),"Transfer: record the contract, SLA and audit rights. ","")&amp;IF(AZ16="","Risk owner missing. ","")&amp;IF(K16="","Scenario not written. ",""))="","OK",TRIM(IF(W16="","Treatment not chosen. ","")&amp;IF(AND(W16="Accept",AX16="No"),"Accepted outside appetite: record approval by "&amp;INDEX(Settings!$G$20:$G$23,MATCH(AW16,Settings!$A$20:$A$23,0))&amp;". ","")&amp;IF(AND(W16="Accept",BG16=""),"Acceptance expiry missing. ","")&amp;IF(AND(BG16&lt;&gt;"",BG16&lt;TODAY()),"Acceptance expired. ","")&amp;IF(AND(W16&lt;&gt;"",W16&lt;&gt;"Accept",AV16=""),"Target rating not set. ","")&amp;IF(AND(BE16="Closed",AX16="No"),"Closed while outside appetite. ","")&amp;IF(AND(W16="Transfer",BE16&lt;&gt;"Transferred",BE16&lt;&gt;"Closed"),"Transfer: record the contract, SLA and audit rights. ","")&amp;IF(AZ16="","Risk owner missing. ","")&amp;IF(K16="","Scenario not written. ",""))))</f>
        <v/>
      </c>
      <c r="BM16" s="82" t="inlineStr">
        <is>
          <t>Wiki example ratings: likelihood Medium, impact High, residual High, priority 12.</t>
        </is>
      </c>
    </row>
    <row r="17" ht="105" customHeight="1">
      <c r="A17" s="78" t="inlineStr">
        <is>
          <t>AI-R13</t>
        </is>
      </c>
      <c r="B17" s="79" t="inlineStr">
        <is>
          <t>AI Service Disruption and Dependency Failure</t>
        </is>
      </c>
      <c r="C17" s="80" t="inlineStr">
        <is>
          <t>07</t>
        </is>
      </c>
      <c r="D17" s="81">
        <f>IF(C17="","",IFERROR(INDEX(Lists!$O$2:$O$13,MATCH(C17,Lists!$N$2:$N$13,0)),"Check domain code"))</f>
        <v/>
      </c>
      <c r="E17" s="81">
        <f>IF(C17="","",IFERROR(INDEX(Lists!$P$2:$P$13,MATCH(C17,Lists!$N$2:$N$13,0)),""))</f>
        <v/>
      </c>
      <c r="F17" s="80" t="n"/>
      <c r="G17" s="82" t="inlineStr">
        <is>
          <t>Enterprise-wide (all AI use)</t>
        </is>
      </c>
      <c r="H17" s="82" t="n"/>
      <c r="I17" s="82" t="n"/>
      <c r="J17" s="83" t="inlineStr">
        <is>
          <t>Business processes come to depend on AI services, model providers and the security controls in front of them. Outages, provider changes, overload or a control that fails open can stop the process or silently remove protection. Required controls include defined fail modes, failover that keeps policy intact, fallback paths, tested backups, provider exit plans and detection of silent control failure.</t>
        </is>
      </c>
      <c r="K17" s="82" t="n"/>
      <c r="L17" s="82" t="n"/>
      <c r="M17" s="84" t="inlineStr">
        <is>
          <t>B3; C3; D5</t>
        </is>
      </c>
      <c r="N17" s="21">
        <f>IF(COUNTIF(Triage!$E$6:$E$48,"Yes")+COUNTIF(Triage!$E$6:$E$48,"No")=0,"Not triaged",IF(SUMPRODUCT(COUNTIFS(Triage!$A$6:$A$48,{"B3","C3","D5"},Triage!$E$6:$E$48,"Yes"))&gt;0,"Applies","Not triggered"))</f>
        <v/>
      </c>
      <c r="O17" s="82" t="n"/>
      <c r="P17" s="85" t="n"/>
      <c r="Q17" s="85" t="n">
        <v>2</v>
      </c>
      <c r="R17" s="85" t="n">
        <v>3</v>
      </c>
      <c r="S17" s="21">
        <f>IF(OR(Q17="",R17=""),"",Q17*R17)</f>
        <v/>
      </c>
      <c r="T17" s="21">
        <f>IF(S17="","",INDEX(Settings!$A$20:$A$23,MATCH(S17,Settings!$B$20:$B$23,1)))</f>
        <v/>
      </c>
      <c r="U17" s="82" t="inlineStr">
        <is>
          <t>Qualitative (4 x 4)</t>
        </is>
      </c>
      <c r="V17" s="86" t="n"/>
      <c r="W17" s="85" t="n"/>
      <c r="X17" s="82" t="n"/>
      <c r="Y17" s="87" t="inlineStr">
        <is>
          <t>AI-CTRL-040</t>
        </is>
      </c>
      <c r="Z17" s="87" t="inlineStr">
        <is>
          <t>None (all Advanced)</t>
        </is>
      </c>
      <c r="AA17" s="87" t="inlineStr">
        <is>
          <t>Defined fail modes; resilient failover; continuity and exit planning; control health monitoring</t>
        </is>
      </c>
      <c r="AB17" s="87" t="inlineStr">
        <is>
          <t>Fail-mode test results; failover and restore tests; continuity and exit plans; health alerts</t>
        </is>
      </c>
      <c r="AC17" s="87" t="inlineStr">
        <is>
          <t>A.4.5; A.6.2.6</t>
        </is>
      </c>
      <c r="AD17" s="87" t="inlineStr">
        <is>
          <t>A.5.29; A.5.30; A.8.6; A.8.13; A.8.14</t>
        </is>
      </c>
      <c r="AE17" s="87" t="inlineStr">
        <is>
          <t>GOVERN 6.2; MANAGE 2.3; MEASURE 2.7</t>
        </is>
      </c>
      <c r="AF17" s="87" t="inlineStr"/>
      <c r="AG17" s="87" t="inlineStr">
        <is>
          <t>AML.T0029</t>
        </is>
      </c>
      <c r="AH17" s="87" t="inlineStr">
        <is>
          <t>AIR-OP-007</t>
        </is>
      </c>
      <c r="AI17" s="87" t="inlineStr">
        <is>
          <t>PR.IR; RC.RP</t>
        </is>
      </c>
      <c r="AJ17" s="88" t="inlineStr">
        <is>
          <t>CIS 11</t>
        </is>
      </c>
      <c r="AK17" s="87" t="inlineStr">
        <is>
          <t>A1.1; A1.2; A1.3; CC9.1</t>
        </is>
      </c>
      <c r="AL17" s="87" t="inlineStr">
        <is>
          <t>None</t>
        </is>
      </c>
      <c r="AM17" s="87" t="inlineStr">
        <is>
          <t>07 Availability and scalability; 11 Scaling and resource constraints</t>
        </is>
      </c>
      <c r="AN17" s="87" t="inlineStr">
        <is>
          <t>None</t>
        </is>
      </c>
      <c r="AO17" s="87" t="inlineStr">
        <is>
          <t>OECD AI Principles: Principle 1.4; EU Ethics Guidelines: Technical robustness and safety; UNESCO Recommendation: Safety and security; Council of Europe AI Convention: Art. 12</t>
        </is>
      </c>
      <c r="AP17" s="87" t="inlineStr">
        <is>
          <t>Singapore: SG5, MAS 5.3, MAS 5.10 to 5.11, MAS 6.3</t>
        </is>
      </c>
      <c r="AQ17" s="88" t="n">
        <v>35</v>
      </c>
      <c r="AR17" s="88" t="n">
        <v>14</v>
      </c>
      <c r="AS17" s="85" t="n"/>
      <c r="AT17" s="85" t="n"/>
      <c r="AU17" s="21">
        <f>IF(OR(AS17="",AT17=""),"",AS17*AT17)</f>
        <v/>
      </c>
      <c r="AV17" s="21">
        <f>IF(AU17="","",INDEX(Settings!$A$20:$A$23,MATCH(AU17,Settings!$B$20:$B$23,1)))</f>
        <v/>
      </c>
      <c r="AW17" s="21">
        <f>IF(AV17&lt;&gt;"",AV17,T17)</f>
        <v/>
      </c>
      <c r="AX17" s="21">
        <f>IF(AW17="","",IF(MATCH(AW17,Settings!$A$20:$A$23,0)&lt;=MATCH(Settings!$C$28,Settings!$A$20:$A$23,0),"Yes","No"))</f>
        <v/>
      </c>
      <c r="AY17" s="81">
        <f>IF(AW17="","",IF(AX17="Yes",INDEX(Settings!$G$20:$G$23,MATCH(AW17,Settings!$A$20:$A$23,0)),INDEX(Settings!$G$20:$G$23,MATCH(AW17,Settings!$A$20:$A$23,0))&amp;" (outside appetite)"))</f>
        <v/>
      </c>
      <c r="AZ17" s="82" t="n"/>
      <c r="BA17" s="82" t="n"/>
      <c r="BB17" s="89" t="n"/>
      <c r="BC17" s="90">
        <f>IF(OR(BB17="",T17=""),"",BB17+INDEX(Settings!$E$20:$E$23,MATCH(T17,Settings!$A$20:$A$23,0)))</f>
        <v/>
      </c>
      <c r="BD17" s="89" t="n"/>
      <c r="BE17" s="82" t="n"/>
      <c r="BF17" s="81">
        <f>IF(A17="","",IF(OR(BE17="Closed",BE17="Accepted"),"No action",IF(BB17="","Set date identified",IF(TODAY()&gt;BC17,"Deadline exceeded",IF(BC17-TODAY()&lt;=Settings!$C$30,"Deadline approaching","On track")))))</f>
        <v/>
      </c>
      <c r="BG17" s="89" t="n"/>
      <c r="BH17" s="89" t="n"/>
      <c r="BI17" s="90">
        <f>IF(OR(BH17="",AW17=""),"",EDATE(BH17,INDEX(Settings!$F$20:$F$23,MATCH(AW17,Settings!$A$20:$A$23,0))))</f>
        <v/>
      </c>
      <c r="BJ17" s="21">
        <f>IF(T17="","",IF(MAX(IF(T17="",0,MATCH(T17,Settings!$A$20:$A$23,0)),IF(AV17="",0,MATCH(AV17,Settings!$A$20:$A$23,0)))&gt;=MATCH(Settings!$C$29,Settings!$A$20:$A$23,0),"Yes","No"))</f>
        <v/>
      </c>
      <c r="BK17" s="82" t="n"/>
      <c r="BL17" s="81">
        <f>IF(A17="","",IF(TRIM(IF(W17="","Treatment not chosen. ","")&amp;IF(AND(W17="Accept",AX17="No"),"Accepted outside appetite: record approval by "&amp;INDEX(Settings!$G$20:$G$23,MATCH(AW17,Settings!$A$20:$A$23,0))&amp;". ","")&amp;IF(AND(W17="Accept",BG17=""),"Acceptance expiry missing. ","")&amp;IF(AND(BG17&lt;&gt;"",BG17&lt;TODAY()),"Acceptance expired. ","")&amp;IF(AND(W17&lt;&gt;"",W17&lt;&gt;"Accept",AV17=""),"Target rating not set. ","")&amp;IF(AND(BE17="Closed",AX17="No"),"Closed while outside appetite. ","")&amp;IF(AND(W17="Transfer",BE17&lt;&gt;"Transferred",BE17&lt;&gt;"Closed"),"Transfer: record the contract, SLA and audit rights. ","")&amp;IF(AZ17="","Risk owner missing. ","")&amp;IF(K17="","Scenario not written. ",""))="","OK",TRIM(IF(W17="","Treatment not chosen. ","")&amp;IF(AND(W17="Accept",AX17="No"),"Accepted outside appetite: record approval by "&amp;INDEX(Settings!$G$20:$G$23,MATCH(AW17,Settings!$A$20:$A$23,0))&amp;". ","")&amp;IF(AND(W17="Accept",BG17=""),"Acceptance expiry missing. ","")&amp;IF(AND(BG17&lt;&gt;"",BG17&lt;TODAY()),"Acceptance expired. ","")&amp;IF(AND(W17&lt;&gt;"",W17&lt;&gt;"Accept",AV17=""),"Target rating not set. ","")&amp;IF(AND(BE17="Closed",AX17="No"),"Closed while outside appetite. ","")&amp;IF(AND(W17="Transfer",BE17&lt;&gt;"Transferred",BE17&lt;&gt;"Closed"),"Transfer: record the contract, SLA and audit rights. ","")&amp;IF(AZ17="","Risk owner missing. ","")&amp;IF(K17="","Scenario not written. ",""))))</f>
        <v/>
      </c>
      <c r="BM17" s="82" t="inlineStr">
        <is>
          <t>Wiki example ratings: likelihood Medium, impact High, residual Medium, priority 13.</t>
        </is>
      </c>
    </row>
    <row r="18" ht="105" customHeight="1">
      <c r="A18" s="91" t="inlineStr">
        <is>
          <t>AI-R14</t>
        </is>
      </c>
      <c r="B18" s="92" t="inlineStr">
        <is>
          <t>Biased or Discriminatory AI Outcomes</t>
        </is>
      </c>
      <c r="C18" s="80" t="inlineStr">
        <is>
          <t>06</t>
        </is>
      </c>
      <c r="D18" s="81">
        <f>IF(C18="","",IFERROR(INDEX(Lists!$O$2:$O$13,MATCH(C18,Lists!$N$2:$N$13,0)),"Check domain code"))</f>
        <v/>
      </c>
      <c r="E18" s="81">
        <f>IF(C18="","",IFERROR(INDEX(Lists!$P$2:$P$13,MATCH(C18,Lists!$N$2:$N$13,0)),""))</f>
        <v/>
      </c>
      <c r="F18" s="80" t="n"/>
      <c r="G18" s="82" t="inlineStr">
        <is>
          <t>Enterprise-wide (all AI use)</t>
        </is>
      </c>
      <c r="H18" s="82" t="n"/>
      <c r="I18" s="82" t="n"/>
      <c r="J18" s="93" t="inlineStr">
        <is>
          <t>AI outputs or decisions can disadvantage people or groups because of skewed data, proxy variables or the way a prompt frames the task. Required controls include group-level fairness testing before release and in operation, review of proxy variables, documented thresholds and human review of adverse outcomes.</t>
        </is>
      </c>
      <c r="K18" s="82" t="n"/>
      <c r="L18" s="82" t="n"/>
      <c r="M18" s="94" t="inlineStr">
        <is>
          <t>C1</t>
        </is>
      </c>
      <c r="N18" s="21">
        <f>IF(COUNTIF(Triage!$E$6:$E$48,"Yes")+COUNTIF(Triage!$E$6:$E$48,"No")=0,"Not triaged",IF(SUMPRODUCT(COUNTIFS(Triage!$A$6:$A$48,{"C1"},Triage!$E$6:$E$48,"Yes"))&gt;0,"Applies","Not triggered"))</f>
        <v/>
      </c>
      <c r="O18" s="82" t="n"/>
      <c r="P18" s="85" t="n"/>
      <c r="Q18" s="85" t="n">
        <v>2</v>
      </c>
      <c r="R18" s="85" t="n">
        <v>3</v>
      </c>
      <c r="S18" s="21">
        <f>IF(OR(Q18="",R18=""),"",Q18*R18)</f>
        <v/>
      </c>
      <c r="T18" s="21">
        <f>IF(S18="","",INDEX(Settings!$A$20:$A$23,MATCH(S18,Settings!$B$20:$B$23,1)))</f>
        <v/>
      </c>
      <c r="U18" s="82" t="inlineStr">
        <is>
          <t>Qualitative (4 x 4)</t>
        </is>
      </c>
      <c r="V18" s="86" t="n"/>
      <c r="W18" s="85" t="n"/>
      <c r="X18" s="82" t="n"/>
      <c r="Y18" s="95" t="inlineStr">
        <is>
          <t>AI-CTRL-033, AI-CTRL-039, AI-CTRL-041, AI-CTRL-045</t>
        </is>
      </c>
      <c r="Z18" s="95" t="inlineStr">
        <is>
          <t>AI-CTRL-033</t>
        </is>
      </c>
      <c r="AA18" s="95" t="inlineStr">
        <is>
          <t>Group-level fairness testing; proxy review; oversight of adverse outcomes</t>
        </is>
      </c>
      <c r="AB18" s="95" t="inlineStr">
        <is>
          <t>Fairness metric definitions; results by group; threshold approvals</t>
        </is>
      </c>
      <c r="AC18" s="95" t="inlineStr">
        <is>
          <t>A.5.2; A.5.4; A.6.1.2; A.6.1.3; A.6.2.2; A.6.2.4; A.6.2.5; A.8.2; A.9.2; A.9.3; A.10.4</t>
        </is>
      </c>
      <c r="AD18" s="95" t="inlineStr">
        <is>
          <t>A.5.8; A.8.25; A.8.27; A.8.29; A.8.32</t>
        </is>
      </c>
      <c r="AE18" s="95" t="inlineStr">
        <is>
          <t>GOVERN 3.2; GOVERN 4.2; MANAGE 1.1; MAP 2.2; MAP 3.5; MAP 5.1; MEASURE 2.5; MEASURE 2.6; MEASURE 2.7; MEASURE 2.9; MEASURE 2.11</t>
        </is>
      </c>
      <c r="AF18" s="95" t="inlineStr">
        <is>
          <t>ASI09; LLM06:2025; LLM09:2025</t>
        </is>
      </c>
      <c r="AG18" s="95" t="inlineStr">
        <is>
          <t>AML.T0048; AML.T0060; AML.T0062</t>
        </is>
      </c>
      <c r="AH18" s="95" t="inlineStr">
        <is>
          <t>AIR-OP-016</t>
        </is>
      </c>
      <c r="AI18" s="95" t="inlineStr">
        <is>
          <t>GV.RR; ID.RA; PR.PS</t>
        </is>
      </c>
      <c r="AJ18" s="96" t="inlineStr">
        <is>
          <t>CIS 16</t>
        </is>
      </c>
      <c r="AK18" s="95" t="inlineStr">
        <is>
          <t>CC3.4; CC8.1; PI1.3; PI1.4</t>
        </is>
      </c>
      <c r="AL18" s="95" t="inlineStr">
        <is>
          <t>Harmful Bias or Homogenization</t>
        </is>
      </c>
      <c r="AM18" s="95" t="inlineStr">
        <is>
          <t>06 Bias and fairness</t>
        </is>
      </c>
      <c r="AN18" s="95" t="inlineStr">
        <is>
          <t>None</t>
        </is>
      </c>
      <c r="AO18" s="95" t="inlineStr">
        <is>
          <t>OECD AI Principles: Principle 1.2, Principle 1.3; EU Ethics Guidelines: Human agency and oversight, Transparency, Diversity, non-discrimination and fairness; UNESCO Recommendation: Transparency and explainability, Human oversight and determination, Fairness and non-discrimination; IEEE 7000-series: IEEE 7000-2021, IEEE 7001-2021, IEEE 7003-2024; Council of Europe AI Convention: Art. 7, Art. 8, Art. 10, Art. 12, 14, 15; G7 Hiroshima Code: Action 1, Action 3, Action 7</t>
        </is>
      </c>
      <c r="AP18" s="95" t="inlineStr">
        <is>
          <t>GCC: U3, U4, U6, U9, S2, Q3, Q4; EU: E1c, E1d, E10, E16; UK: UK1, UK3, UK4, UK7, UK11, UK12, UK13; US: US5, US7, US8, US10, US11, US12, US14, US15, US16; Australia: AU2, AU6, AU6a; Brazil: BR1, BR4; Canada: CA3, CA4, CA5, CA7; China: CN1, CN2, CN3, CN4, CN5, CN6; India: IN4, IN5, IN6, IN9, IN13; Japan: JP3; Singapore: SG1, SG3, SG5, SG6, MAS 5.5 to 5.6, MAS 5.7 to 5.8, MAS 5.9, MAS 5.12 to 5.13, MAS 5.14 to 5.15, MAS 5.18 to 5.21, MAS 5.22, MAS 5.25; South: KR2, KR3</t>
        </is>
      </c>
      <c r="AQ18" s="96" t="n">
        <v>169</v>
      </c>
      <c r="AR18" s="96" t="n">
        <v>27</v>
      </c>
      <c r="AS18" s="85" t="n"/>
      <c r="AT18" s="85" t="n"/>
      <c r="AU18" s="21">
        <f>IF(OR(AS18="",AT18=""),"",AS18*AT18)</f>
        <v/>
      </c>
      <c r="AV18" s="21">
        <f>IF(AU18="","",INDEX(Settings!$A$20:$A$23,MATCH(AU18,Settings!$B$20:$B$23,1)))</f>
        <v/>
      </c>
      <c r="AW18" s="21">
        <f>IF(AV18&lt;&gt;"",AV18,T18)</f>
        <v/>
      </c>
      <c r="AX18" s="21">
        <f>IF(AW18="","",IF(MATCH(AW18,Settings!$A$20:$A$23,0)&lt;=MATCH(Settings!$C$28,Settings!$A$20:$A$23,0),"Yes","No"))</f>
        <v/>
      </c>
      <c r="AY18" s="81">
        <f>IF(AW18="","",IF(AX18="Yes",INDEX(Settings!$G$20:$G$23,MATCH(AW18,Settings!$A$20:$A$23,0)),INDEX(Settings!$G$20:$G$23,MATCH(AW18,Settings!$A$20:$A$23,0))&amp;" (outside appetite)"))</f>
        <v/>
      </c>
      <c r="AZ18" s="82" t="n"/>
      <c r="BA18" s="82" t="n"/>
      <c r="BB18" s="89" t="n"/>
      <c r="BC18" s="90">
        <f>IF(OR(BB18="",T18=""),"",BB18+INDEX(Settings!$E$20:$E$23,MATCH(T18,Settings!$A$20:$A$23,0)))</f>
        <v/>
      </c>
      <c r="BD18" s="89" t="n"/>
      <c r="BE18" s="82" t="n"/>
      <c r="BF18" s="81">
        <f>IF(A18="","",IF(OR(BE18="Closed",BE18="Accepted"),"No action",IF(BB18="","Set date identified",IF(TODAY()&gt;BC18,"Deadline exceeded",IF(BC18-TODAY()&lt;=Settings!$C$30,"Deadline approaching","On track")))))</f>
        <v/>
      </c>
      <c r="BG18" s="89" t="n"/>
      <c r="BH18" s="89" t="n"/>
      <c r="BI18" s="90">
        <f>IF(OR(BH18="",AW18=""),"",EDATE(BH18,INDEX(Settings!$F$20:$F$23,MATCH(AW18,Settings!$A$20:$A$23,0))))</f>
        <v/>
      </c>
      <c r="BJ18" s="21">
        <f>IF(T18="","",IF(MAX(IF(T18="",0,MATCH(T18,Settings!$A$20:$A$23,0)),IF(AV18="",0,MATCH(AV18,Settings!$A$20:$A$23,0)))&gt;=MATCH(Settings!$C$29,Settings!$A$20:$A$23,0),"Yes","No"))</f>
        <v/>
      </c>
      <c r="BK18" s="82" t="n"/>
      <c r="BL18" s="81">
        <f>IF(A18="","",IF(TRIM(IF(W18="","Treatment not chosen. ","")&amp;IF(AND(W18="Accept",AX18="No"),"Accepted outside appetite: record approval by "&amp;INDEX(Settings!$G$20:$G$23,MATCH(AW18,Settings!$A$20:$A$23,0))&amp;". ","")&amp;IF(AND(W18="Accept",BG18=""),"Acceptance expiry missing. ","")&amp;IF(AND(BG18&lt;&gt;"",BG18&lt;TODAY()),"Acceptance expired. ","")&amp;IF(AND(W18&lt;&gt;"",W18&lt;&gt;"Accept",AV18=""),"Target rating not set. ","")&amp;IF(AND(BE18="Closed",AX18="No"),"Closed while outside appetite. ","")&amp;IF(AND(W18="Transfer",BE18&lt;&gt;"Transferred",BE18&lt;&gt;"Closed"),"Transfer: record the contract, SLA and audit rights. ","")&amp;IF(AZ18="","Risk owner missing. ","")&amp;IF(K18="","Scenario not written. ",""))="","OK",TRIM(IF(W18="","Treatment not chosen. ","")&amp;IF(AND(W18="Accept",AX18="No"),"Accepted outside appetite: record approval by "&amp;INDEX(Settings!$G$20:$G$23,MATCH(AW18,Settings!$A$20:$A$23,0))&amp;". ","")&amp;IF(AND(W18="Accept",BG18=""),"Acceptance expiry missing. ","")&amp;IF(AND(BG18&lt;&gt;"",BG18&lt;TODAY()),"Acceptance expired. ","")&amp;IF(AND(W18&lt;&gt;"",W18&lt;&gt;"Accept",AV18=""),"Target rating not set. ","")&amp;IF(AND(BE18="Closed",AX18="No"),"Closed while outside appetite. ","")&amp;IF(AND(W18="Transfer",BE18&lt;&gt;"Transferred",BE18&lt;&gt;"Closed"),"Transfer: record the contract, SLA and audit rights. ","")&amp;IF(AZ18="","Risk owner missing. ","")&amp;IF(K18="","Scenario not written. ",""))))</f>
        <v/>
      </c>
      <c r="BM18" s="82" t="inlineStr">
        <is>
          <t>Wiki example ratings: likelihood Medium, impact High, residual High, priority 14.</t>
        </is>
      </c>
    </row>
    <row r="19" ht="105" customHeight="1">
      <c r="A19" s="78" t="inlineStr">
        <is>
          <t>AI-R15</t>
        </is>
      </c>
      <c r="B19" s="79" t="inlineStr">
        <is>
          <t>Lack of Explainability and Decision Traceability</t>
        </is>
      </c>
      <c r="C19" s="80" t="inlineStr">
        <is>
          <t>04</t>
        </is>
      </c>
      <c r="D19" s="81">
        <f>IF(C19="","",IFERROR(INDEX(Lists!$O$2:$O$13,MATCH(C19,Lists!$N$2:$N$13,0)),"Check domain code"))</f>
        <v/>
      </c>
      <c r="E19" s="81">
        <f>IF(C19="","",IFERROR(INDEX(Lists!$P$2:$P$13,MATCH(C19,Lists!$N$2:$N$13,0)),""))</f>
        <v/>
      </c>
      <c r="F19" s="80" t="n"/>
      <c r="G19" s="82" t="inlineStr">
        <is>
          <t>Enterprise-wide (all AI use)</t>
        </is>
      </c>
      <c r="H19" s="82" t="n"/>
      <c r="I19" s="82" t="n"/>
      <c r="J19" s="83" t="inlineStr">
        <is>
          <t>The basis for an AI-assisted decision may not be explainable to a customer, reviewer or regulator, and the decision may not be reconstructable later. Required controls include decision records that name the model version, prompt template and sources, explanation templates by audience and retention that matches the decision's life.</t>
        </is>
      </c>
      <c r="K19" s="82" t="n"/>
      <c r="L19" s="82" t="n"/>
      <c r="M19" s="84" t="inlineStr">
        <is>
          <t>C1; C4; D7</t>
        </is>
      </c>
      <c r="N19" s="21">
        <f>IF(COUNTIF(Triage!$E$6:$E$48,"Yes")+COUNTIF(Triage!$E$6:$E$48,"No")=0,"Not triaged",IF(SUMPRODUCT(COUNTIFS(Triage!$A$6:$A$48,{"C1","C4","D7"},Triage!$E$6:$E$48,"Yes"))&gt;0,"Applies","Not triggered"))</f>
        <v/>
      </c>
      <c r="O19" s="82" t="n"/>
      <c r="P19" s="85" t="n"/>
      <c r="Q19" s="85" t="n">
        <v>2</v>
      </c>
      <c r="R19" s="85" t="n">
        <v>3</v>
      </c>
      <c r="S19" s="21">
        <f>IF(OR(Q19="",R19=""),"",Q19*R19)</f>
        <v/>
      </c>
      <c r="T19" s="21">
        <f>IF(S19="","",INDEX(Settings!$A$20:$A$23,MATCH(S19,Settings!$B$20:$B$23,1)))</f>
        <v/>
      </c>
      <c r="U19" s="82" t="inlineStr">
        <is>
          <t>Qualitative (4 x 4)</t>
        </is>
      </c>
      <c r="V19" s="86" t="n"/>
      <c r="W19" s="85" t="n"/>
      <c r="X19" s="82" t="n"/>
      <c r="Y19" s="87" t="inlineStr">
        <is>
          <t>AI-CTRL-008, AI-CTRL-038, AI-CTRL-041</t>
        </is>
      </c>
      <c r="Z19" s="87" t="inlineStr">
        <is>
          <t>AI-CTRL-008</t>
        </is>
      </c>
      <c r="AA19" s="87" t="inlineStr">
        <is>
          <t>Decision records; explanation templates; retention</t>
        </is>
      </c>
      <c r="AB19" s="87" t="inlineStr">
        <is>
          <t>Decision records; sample reconstructions; retention configuration</t>
        </is>
      </c>
      <c r="AC19" s="87" t="inlineStr">
        <is>
          <t>A.5.4; A.6.2.4; A.6.2.8; A.8.2; A.10.4; Clause 9.1; Clause 9.2; Clause 9.3; Clause 10.2</t>
        </is>
      </c>
      <c r="AD19" s="87" t="inlineStr">
        <is>
          <t>A.5.28; A.5.33; A.5.35; A.5.36; A.8.15; A.8.17; Clause 9.2</t>
        </is>
      </c>
      <c r="AE19" s="87" t="inlineStr">
        <is>
          <t>GOVERN 1.5; MANAGE 4.1; MANAGE 4.2; MAP 5.1; MEASURE 1.2; MEASURE 1.3; MEASURE 2.4; MEASURE 2.8; MEASURE 2.9; MEASURE 2.11</t>
        </is>
      </c>
      <c r="AF19" s="87" t="inlineStr"/>
      <c r="AG19" s="87" t="inlineStr"/>
      <c r="AH19" s="87" t="inlineStr">
        <is>
          <t>AIR-OP-017</t>
        </is>
      </c>
      <c r="AI19" s="87" t="inlineStr">
        <is>
          <t>DE.CM; GV.OV; ID.IM; PR.PS</t>
        </is>
      </c>
      <c r="AJ19" s="88" t="inlineStr">
        <is>
          <t>CIS 8</t>
        </is>
      </c>
      <c r="AK19" s="87" t="inlineStr">
        <is>
          <t>CC4.1; CC4.2; CC7.2</t>
        </is>
      </c>
      <c r="AL19" s="87" t="inlineStr">
        <is>
          <t>None</t>
        </is>
      </c>
      <c r="AM19" s="87" t="inlineStr">
        <is>
          <t>04 Explainability; 04 Reproducibility and documentation</t>
        </is>
      </c>
      <c r="AN19" s="87" t="inlineStr">
        <is>
          <t>None</t>
        </is>
      </c>
      <c r="AO19" s="87" t="inlineStr">
        <is>
          <t>OECD AI Principles: Principle 1.2, Principle 1.3, Principle 1.5; EU Ethics Guidelines: Transparency, Diversity, non-discrimination and fairness, Accountability; UNESCO Recommendation: Responsibility and accountability, Transparency and explainability, Fairness and non-discrimination; IEEE 7000-series: IEEE 7001-2021, IEEE 7003-2024; Council of Europe AI Convention: Art. 9, Art. 10</t>
        </is>
      </c>
      <c r="AP19" s="87" t="inlineStr">
        <is>
          <t>GCC: U4, U5, U6, U9, U11, U12, S2, S6, S7, Q3, Q4, O1; EU: E1c, E7; UK: UK1, UK3, UK4, UK6, UK10, UK12, UK13; US: US5, US6, US8, US10, US11, US12, US14, US15, US16; Australia: AU2, AU6, AU6a; Brazil: BR1; Canada: CA3, CA6; China: CN5; India: IN4, IN5, IN6, IN7; Japan: JP3; Singapore: SG3, SG5, SG6, SG7, MAS 5.5 to 5.6, MAS 5.7 to 5.8, MAS 5.14 to 5.15, MAS 5.17, MAS 5.18 to 5.21, MAS 5.23, MAS 5.24; South: KR3</t>
        </is>
      </c>
      <c r="AQ19" s="88" t="n">
        <v>125</v>
      </c>
      <c r="AR19" s="88" t="n">
        <v>46</v>
      </c>
      <c r="AS19" s="85" t="n"/>
      <c r="AT19" s="85" t="n"/>
      <c r="AU19" s="21">
        <f>IF(OR(AS19="",AT19=""),"",AS19*AT19)</f>
        <v/>
      </c>
      <c r="AV19" s="21">
        <f>IF(AU19="","",INDEX(Settings!$A$20:$A$23,MATCH(AU19,Settings!$B$20:$B$23,1)))</f>
        <v/>
      </c>
      <c r="AW19" s="21">
        <f>IF(AV19&lt;&gt;"",AV19,T19)</f>
        <v/>
      </c>
      <c r="AX19" s="21">
        <f>IF(AW19="","",IF(MATCH(AW19,Settings!$A$20:$A$23,0)&lt;=MATCH(Settings!$C$28,Settings!$A$20:$A$23,0),"Yes","No"))</f>
        <v/>
      </c>
      <c r="AY19" s="81">
        <f>IF(AW19="","",IF(AX19="Yes",INDEX(Settings!$G$20:$G$23,MATCH(AW19,Settings!$A$20:$A$23,0)),INDEX(Settings!$G$20:$G$23,MATCH(AW19,Settings!$A$20:$A$23,0))&amp;" (outside appetite)"))</f>
        <v/>
      </c>
      <c r="AZ19" s="82" t="n"/>
      <c r="BA19" s="82" t="n"/>
      <c r="BB19" s="89" t="n"/>
      <c r="BC19" s="90">
        <f>IF(OR(BB19="",T19=""),"",BB19+INDEX(Settings!$E$20:$E$23,MATCH(T19,Settings!$A$20:$A$23,0)))</f>
        <v/>
      </c>
      <c r="BD19" s="89" t="n"/>
      <c r="BE19" s="82" t="n"/>
      <c r="BF19" s="81">
        <f>IF(A19="","",IF(OR(BE19="Closed",BE19="Accepted"),"No action",IF(BB19="","Set date identified",IF(TODAY()&gt;BC19,"Deadline exceeded",IF(BC19-TODAY()&lt;=Settings!$C$30,"Deadline approaching","On track")))))</f>
        <v/>
      </c>
      <c r="BG19" s="89" t="n"/>
      <c r="BH19" s="89" t="n"/>
      <c r="BI19" s="90">
        <f>IF(OR(BH19="",AW19=""),"",EDATE(BH19,INDEX(Settings!$F$20:$F$23,MATCH(AW19,Settings!$A$20:$A$23,0))))</f>
        <v/>
      </c>
      <c r="BJ19" s="21">
        <f>IF(T19="","",IF(MAX(IF(T19="",0,MATCH(T19,Settings!$A$20:$A$23,0)),IF(AV19="",0,MATCH(AV19,Settings!$A$20:$A$23,0)))&gt;=MATCH(Settings!$C$29,Settings!$A$20:$A$23,0),"Yes","No"))</f>
        <v/>
      </c>
      <c r="BK19" s="82" t="n"/>
      <c r="BL19" s="81">
        <f>IF(A19="","",IF(TRIM(IF(W19="","Treatment not chosen. ","")&amp;IF(AND(W19="Accept",AX19="No"),"Accepted outside appetite: record approval by "&amp;INDEX(Settings!$G$20:$G$23,MATCH(AW19,Settings!$A$20:$A$23,0))&amp;". ","")&amp;IF(AND(W19="Accept",BG19=""),"Acceptance expiry missing. ","")&amp;IF(AND(BG19&lt;&gt;"",BG19&lt;TODAY()),"Acceptance expired. ","")&amp;IF(AND(W19&lt;&gt;"",W19&lt;&gt;"Accept",AV19=""),"Target rating not set. ","")&amp;IF(AND(BE19="Closed",AX19="No"),"Closed while outside appetite. ","")&amp;IF(AND(W19="Transfer",BE19&lt;&gt;"Transferred",BE19&lt;&gt;"Closed"),"Transfer: record the contract, SLA and audit rights. ","")&amp;IF(AZ19="","Risk owner missing. ","")&amp;IF(K19="","Scenario not written. ",""))="","OK",TRIM(IF(W19="","Treatment not chosen. ","")&amp;IF(AND(W19="Accept",AX19="No"),"Accepted outside appetite: record approval by "&amp;INDEX(Settings!$G$20:$G$23,MATCH(AW19,Settings!$A$20:$A$23,0))&amp;". ","")&amp;IF(AND(W19="Accept",BG19=""),"Acceptance expiry missing. ","")&amp;IF(AND(BG19&lt;&gt;"",BG19&lt;TODAY()),"Acceptance expired. ","")&amp;IF(AND(W19&lt;&gt;"",W19&lt;&gt;"Accept",AV19=""),"Target rating not set. ","")&amp;IF(AND(BE19="Closed",AX19="No"),"Closed while outside appetite. ","")&amp;IF(AND(W19="Transfer",BE19&lt;&gt;"Transferred",BE19&lt;&gt;"Closed"),"Transfer: record the contract, SLA and audit rights. ","")&amp;IF(AZ19="","Risk owner missing. ","")&amp;IF(K19="","Scenario not written. ",""))))</f>
        <v/>
      </c>
      <c r="BM19" s="82" t="inlineStr">
        <is>
          <t>Wiki example ratings: likelihood Medium, impact High, residual High, priority 15.</t>
        </is>
      </c>
    </row>
    <row r="20" ht="105" customHeight="1">
      <c r="A20" s="91" t="inlineStr">
        <is>
          <t>AI-R16</t>
        </is>
      </c>
      <c r="B20" s="92" t="inlineStr">
        <is>
          <t>Foundation Model Version Change and Non-Deterministic Behaviour</t>
        </is>
      </c>
      <c r="C20" s="80" t="inlineStr">
        <is>
          <t>07</t>
        </is>
      </c>
      <c r="D20" s="81">
        <f>IF(C20="","",IFERROR(INDEX(Lists!$O$2:$O$13,MATCH(C20,Lists!$N$2:$N$13,0)),"Check domain code"))</f>
        <v/>
      </c>
      <c r="E20" s="81">
        <f>IF(C20="","",IFERROR(INDEX(Lists!$P$2:$P$13,MATCH(C20,Lists!$N$2:$N$13,0)),""))</f>
        <v/>
      </c>
      <c r="F20" s="80" t="n"/>
      <c r="G20" s="82" t="inlineStr">
        <is>
          <t>Enterprise-wide (all AI use)</t>
        </is>
      </c>
      <c r="H20" s="82" t="n"/>
      <c r="I20" s="82" t="n"/>
      <c r="J20" s="93" t="inlineStr">
        <is>
          <t>Providers update, replace or retire models, and the same input can give different outputs. Guardrails, prompts and safety evaluations that passed before can regress without any change on the customer side. Required controls include version pinning, tracking of provider notices, a regression suite on every change, tolerance limits for output variation and tested rollback.</t>
        </is>
      </c>
      <c r="K20" s="82" t="n"/>
      <c r="L20" s="82" t="n"/>
      <c r="M20" s="94" t="inlineStr">
        <is>
          <t>B3; D1</t>
        </is>
      </c>
      <c r="N20" s="21">
        <f>IF(COUNTIF(Triage!$E$6:$E$48,"Yes")+COUNTIF(Triage!$E$6:$E$48,"No")=0,"Not triaged",IF(SUMPRODUCT(COUNTIFS(Triage!$A$6:$A$48,{"B3","D1"},Triage!$E$6:$E$48,"Yes"))&gt;0,"Applies","Not triggered"))</f>
        <v/>
      </c>
      <c r="O20" s="82" t="n"/>
      <c r="P20" s="85" t="n"/>
      <c r="Q20" s="85" t="n">
        <v>3</v>
      </c>
      <c r="R20" s="85" t="n">
        <v>2</v>
      </c>
      <c r="S20" s="21">
        <f>IF(OR(Q20="",R20=""),"",Q20*R20)</f>
        <v/>
      </c>
      <c r="T20" s="21">
        <f>IF(S20="","",INDEX(Settings!$A$20:$A$23,MATCH(S20,Settings!$B$20:$B$23,1)))</f>
        <v/>
      </c>
      <c r="U20" s="82" t="inlineStr">
        <is>
          <t>Qualitative (4 x 4)</t>
        </is>
      </c>
      <c r="V20" s="86" t="n"/>
      <c r="W20" s="85" t="n"/>
      <c r="X20" s="82" t="n"/>
      <c r="Y20" s="95" t="inlineStr">
        <is>
          <t>AI-CTRL-014, AI-CTRL-031, AI-CTRL-033, AI-CTRL-034, AI-CTRL-040</t>
        </is>
      </c>
      <c r="Z20" s="95" t="inlineStr">
        <is>
          <t>AI-CTRL-014, AI-CTRL-033</t>
        </is>
      </c>
      <c r="AA20" s="95" t="inlineStr">
        <is>
          <t>Model version pinning; regression on change; rollback</t>
        </is>
      </c>
      <c r="AB20" s="95" t="inlineStr">
        <is>
          <t>Model inventory with versions; regression results; rollback test</t>
        </is>
      </c>
      <c r="AC20" s="95" t="inlineStr">
        <is>
          <t>A.4.2; A.4.5; A.5.2; A.6.1.2; A.6.1.3; A.6.2.2; A.6.2.4; A.6.2.5; A.6.2.6; A.6.2.7; A.7.5; A.10.2; A.10.3</t>
        </is>
      </c>
      <c r="AD20" s="95" t="inlineStr">
        <is>
          <t>A.5.7; A.5.8; A.5.9; A.5.11; A.5.19; A.5.20; A.5.21; A.5.22; A.5.23; A.5.29; A.5.30; A.8.6; A.8.8; A.8.13; A.8.14; A.8.19; A.8.25; A.8.27; A.8.29; A.8.30; A.8.32; A.8.34</t>
        </is>
      </c>
      <c r="AE20" s="95" t="inlineStr">
        <is>
          <t>GOVERN 4.2; GOVERN 4.3; GOVERN 6.1; GOVERN 6.2; MANAGE 1.1; MANAGE 2.3; MANAGE 3.1; MANAGE 3.2; MAP 4.1; MEASURE 2.1; MEASURE 2.6; MEASURE 2.7</t>
        </is>
      </c>
      <c r="AF20" s="95" t="inlineStr">
        <is>
          <t>LLM01:2025; LLM02:2025; LLM03:2025; LLM04:2025; LLM05:2025; LLM06:2025; LLM07:2025; LLM08:2025; LLM09:2025; LLM10:2025</t>
        </is>
      </c>
      <c r="AG20" s="95" t="inlineStr">
        <is>
          <t>AML.T0010; AML.T0029; AML.T0109; AML.T0111; AML.T0115</t>
        </is>
      </c>
      <c r="AH20" s="95" t="inlineStr">
        <is>
          <t>AIR-OP-005; AIR-OP-006</t>
        </is>
      </c>
      <c r="AI20" s="95" t="inlineStr">
        <is>
          <t>GV.SC; ID.AM; ID.IM; ID.RA; PR.IR; PR.PS; RC.RP</t>
        </is>
      </c>
      <c r="AJ20" s="96" t="inlineStr">
        <is>
          <t>CIS 2; CIS 7; CIS 11; CIS 15; CIS 16; CIS 18</t>
        </is>
      </c>
      <c r="AK20" s="95" t="inlineStr">
        <is>
          <t>A1.1; A1.2; A1.3; CC3.4; CC4.1; CC7.1; CC8.1; CC9.1; CC9.2</t>
        </is>
      </c>
      <c r="AL20" s="95" t="inlineStr">
        <is>
          <t>None</t>
        </is>
      </c>
      <c r="AM20" s="95" t="inlineStr">
        <is>
          <t>04 Robustness and drift; 06 Transparency, disclosure and provenance; 07 MLOps and deployment; 07 Change and lifecycle management</t>
        </is>
      </c>
      <c r="AN20" s="95" t="inlineStr">
        <is>
          <t>None</t>
        </is>
      </c>
      <c r="AO20" s="95" t="inlineStr">
        <is>
          <t>OECD AI Principles: Principle 1.4; EU Ethics Guidelines: Technical robustness and safety; UNESCO Recommendation: Safety and security; IEEE 7000-series: IEEE 7000-2021; Council of Europe AI Convention: Art. 12; G7 Hiroshima Code: Action 1, Action 2</t>
        </is>
      </c>
      <c r="AP20" s="95" t="inlineStr">
        <is>
          <t>GCC: U9, Q4; EU: E1c, E1e, E6, E9, E13, E15; US: US15, US16, US17; Australia: AU8; Brazil: BR4; India: IN5, IN7, IN13; Japan: JP6; Singapore: SG5, MAS 5.3, MAS 5.10 to 5.11, MAS 5.12 to 5.13, MAS 5.14 to 5.15, MAS 5.18 to 5.21, MAS 5.22, MAS 5.24, MAS 5.25, MAS 6.3</t>
        </is>
      </c>
      <c r="AQ20" s="96" t="n">
        <v>196</v>
      </c>
      <c r="AR20" s="96" t="n">
        <v>107</v>
      </c>
      <c r="AS20" s="85" t="n"/>
      <c r="AT20" s="85" t="n"/>
      <c r="AU20" s="21">
        <f>IF(OR(AS20="",AT20=""),"",AS20*AT20)</f>
        <v/>
      </c>
      <c r="AV20" s="21">
        <f>IF(AU20="","",INDEX(Settings!$A$20:$A$23,MATCH(AU20,Settings!$B$20:$B$23,1)))</f>
        <v/>
      </c>
      <c r="AW20" s="21">
        <f>IF(AV20&lt;&gt;"",AV20,T20)</f>
        <v/>
      </c>
      <c r="AX20" s="21">
        <f>IF(AW20="","",IF(MATCH(AW20,Settings!$A$20:$A$23,0)&lt;=MATCH(Settings!$C$28,Settings!$A$20:$A$23,0),"Yes","No"))</f>
        <v/>
      </c>
      <c r="AY20" s="81">
        <f>IF(AW20="","",IF(AX20="Yes",INDEX(Settings!$G$20:$G$23,MATCH(AW20,Settings!$A$20:$A$23,0)),INDEX(Settings!$G$20:$G$23,MATCH(AW20,Settings!$A$20:$A$23,0))&amp;" (outside appetite)"))</f>
        <v/>
      </c>
      <c r="AZ20" s="82" t="n"/>
      <c r="BA20" s="82" t="n"/>
      <c r="BB20" s="89" t="n"/>
      <c r="BC20" s="90">
        <f>IF(OR(BB20="",T20=""),"",BB20+INDEX(Settings!$E$20:$E$23,MATCH(T20,Settings!$A$20:$A$23,0)))</f>
        <v/>
      </c>
      <c r="BD20" s="89" t="n"/>
      <c r="BE20" s="82" t="n"/>
      <c r="BF20" s="81">
        <f>IF(A20="","",IF(OR(BE20="Closed",BE20="Accepted"),"No action",IF(BB20="","Set date identified",IF(TODAY()&gt;BC20,"Deadline exceeded",IF(BC20-TODAY()&lt;=Settings!$C$30,"Deadline approaching","On track")))))</f>
        <v/>
      </c>
      <c r="BG20" s="89" t="n"/>
      <c r="BH20" s="89" t="n"/>
      <c r="BI20" s="90">
        <f>IF(OR(BH20="",AW20=""),"",EDATE(BH20,INDEX(Settings!$F$20:$F$23,MATCH(AW20,Settings!$A$20:$A$23,0))))</f>
        <v/>
      </c>
      <c r="BJ20" s="21">
        <f>IF(T20="","",IF(MAX(IF(T20="",0,MATCH(T20,Settings!$A$20:$A$23,0)),IF(AV20="",0,MATCH(AV20,Settings!$A$20:$A$23,0)))&gt;=MATCH(Settings!$C$29,Settings!$A$20:$A$23,0),"Yes","No"))</f>
        <v/>
      </c>
      <c r="BK20" s="82" t="n"/>
      <c r="BL20" s="81">
        <f>IF(A20="","",IF(TRIM(IF(W20="","Treatment not chosen. ","")&amp;IF(AND(W20="Accept",AX20="No"),"Accepted outside appetite: record approval by "&amp;INDEX(Settings!$G$20:$G$23,MATCH(AW20,Settings!$A$20:$A$23,0))&amp;". ","")&amp;IF(AND(W20="Accept",BG20=""),"Acceptance expiry missing. ","")&amp;IF(AND(BG20&lt;&gt;"",BG20&lt;TODAY()),"Acceptance expired. ","")&amp;IF(AND(W20&lt;&gt;"",W20&lt;&gt;"Accept",AV20=""),"Target rating not set. ","")&amp;IF(AND(BE20="Closed",AX20="No"),"Closed while outside appetite. ","")&amp;IF(AND(W20="Transfer",BE20&lt;&gt;"Transferred",BE20&lt;&gt;"Closed"),"Transfer: record the contract, SLA and audit rights. ","")&amp;IF(AZ20="","Risk owner missing. ","")&amp;IF(K20="","Scenario not written. ",""))="","OK",TRIM(IF(W20="","Treatment not chosen. ","")&amp;IF(AND(W20="Accept",AX20="No"),"Accepted outside appetite: record approval by "&amp;INDEX(Settings!$G$20:$G$23,MATCH(AW20,Settings!$A$20:$A$23,0))&amp;". ","")&amp;IF(AND(W20="Accept",BG20=""),"Acceptance expiry missing. ","")&amp;IF(AND(BG20&lt;&gt;"",BG20&lt;TODAY()),"Acceptance expired. ","")&amp;IF(AND(W20&lt;&gt;"",W20&lt;&gt;"Accept",AV20=""),"Target rating not set. ","")&amp;IF(AND(BE20="Closed",AX20="No"),"Closed while outside appetite. ","")&amp;IF(AND(W20="Transfer",BE20&lt;&gt;"Transferred",BE20&lt;&gt;"Closed"),"Transfer: record the contract, SLA and audit rights. ","")&amp;IF(AZ20="","Risk owner missing. ","")&amp;IF(K20="","Scenario not written. ",""))))</f>
        <v/>
      </c>
      <c r="BM20" s="82" t="inlineStr">
        <is>
          <t>Wiki example ratings: likelihood High, impact Medium, residual High, priority 16.</t>
        </is>
      </c>
    </row>
    <row r="21" ht="105" customHeight="1">
      <c r="A21" s="78" t="inlineStr">
        <is>
          <t>AI-R17</t>
        </is>
      </c>
      <c r="B21" s="79" t="inlineStr">
        <is>
          <t>Data Quality Degradation and Model Drift</t>
        </is>
      </c>
      <c r="C21" s="80" t="inlineStr">
        <is>
          <t>04</t>
        </is>
      </c>
      <c r="D21" s="81">
        <f>IF(C21="","",IFERROR(INDEX(Lists!$O$2:$O$13,MATCH(C21,Lists!$N$2:$N$13,0)),"Check domain code"))</f>
        <v/>
      </c>
      <c r="E21" s="81">
        <f>IF(C21="","",IFERROR(INDEX(Lists!$P$2:$P$13,MATCH(C21,Lists!$N$2:$N$13,0)),""))</f>
        <v/>
      </c>
      <c r="F21" s="80" t="n"/>
      <c r="G21" s="82" t="inlineStr">
        <is>
          <t>Enterprise-wide (all AI use)</t>
        </is>
      </c>
      <c r="H21" s="82" t="n"/>
      <c r="I21" s="82" t="n"/>
      <c r="J21" s="83" t="inlineStr">
        <is>
          <t>Source data, retrieval content or input patterns change over time, so output quality or safety falls without any code change. Required controls include quality baselines, freshness limits and named owners for each source, drift indicators with thresholds and a defined response when a threshold is crossed.</t>
        </is>
      </c>
      <c r="K21" s="82" t="n"/>
      <c r="L21" s="82" t="n"/>
      <c r="M21" s="84" t="inlineStr">
        <is>
          <t>B5; B6</t>
        </is>
      </c>
      <c r="N21" s="21">
        <f>IF(COUNTIF(Triage!$E$6:$E$48,"Yes")+COUNTIF(Triage!$E$6:$E$48,"No")=0,"Not triaged",IF(SUMPRODUCT(COUNTIFS(Triage!$A$6:$A$48,{"B5","B6"},Triage!$E$6:$E$48,"Yes"))&gt;0,"Applies","Not triggered"))</f>
        <v/>
      </c>
      <c r="O21" s="82" t="n"/>
      <c r="P21" s="85" t="n"/>
      <c r="Q21" s="85" t="n">
        <v>2</v>
      </c>
      <c r="R21" s="85" t="n">
        <v>3</v>
      </c>
      <c r="S21" s="21">
        <f>IF(OR(Q21="",R21=""),"",Q21*R21)</f>
        <v/>
      </c>
      <c r="T21" s="21">
        <f>IF(S21="","",INDEX(Settings!$A$20:$A$23,MATCH(S21,Settings!$B$20:$B$23,1)))</f>
        <v/>
      </c>
      <c r="U21" s="82" t="inlineStr">
        <is>
          <t>Qualitative (4 x 4)</t>
        </is>
      </c>
      <c r="V21" s="86" t="n"/>
      <c r="W21" s="85" t="n"/>
      <c r="X21" s="82" t="n"/>
      <c r="Y21" s="87" t="inlineStr">
        <is>
          <t>AI-CTRL-017, AI-CTRL-019, AI-CTRL-034</t>
        </is>
      </c>
      <c r="Z21" s="87" t="inlineStr">
        <is>
          <t>AI-CTRL-017</t>
        </is>
      </c>
      <c r="AA21" s="87" t="inlineStr">
        <is>
          <t>Quality baselines; freshness limits; drift monitoring</t>
        </is>
      </c>
      <c r="AB21" s="87" t="inlineStr">
        <is>
          <t>Baselines; drift alerts and actions; source ownership records</t>
        </is>
      </c>
      <c r="AC21" s="87" t="inlineStr">
        <is>
          <t>A.4.3; A.6.2.4; A.7.3; A.7.4; A.7.5; A.7.6</t>
        </is>
      </c>
      <c r="AD21" s="87" t="inlineStr">
        <is>
          <t>A.5.7; A.5.12; A.5.13; A.8.8; A.8.10; A.8.11; A.8.12; A.8.24; A.8.29; A.8.32; A.8.33; A.8.34</t>
        </is>
      </c>
      <c r="AE21" s="87" t="inlineStr">
        <is>
          <t>GOVERN 4.3; MAP 2.3; MEASURE 2.1; MEASURE 2.6; MEASURE 2.7; MEASURE 2.10</t>
        </is>
      </c>
      <c r="AF21" s="87" t="inlineStr">
        <is>
          <t>LLM01:2025; LLM02:2025; LLM03:2025; LLM04:2025; LLM05:2025; LLM06:2025; LLM07:2025; LLM08:2025; LLM09:2025; LLM10:2025</t>
        </is>
      </c>
      <c r="AG21" s="87" t="inlineStr">
        <is>
          <t>AML.T0025; AML.T0057; AML.T0066; AML.T0070; AML.T0071; AML.T0085</t>
        </is>
      </c>
      <c r="AH21" s="87" t="inlineStr">
        <is>
          <t>AIR-OP-019</t>
        </is>
      </c>
      <c r="AI21" s="87" t="inlineStr">
        <is>
          <t>ID.AM; ID.IM; ID.RA; PR.DS</t>
        </is>
      </c>
      <c r="AJ21" s="88" t="inlineStr">
        <is>
          <t>CIS 3; CIS 7; CIS 18</t>
        </is>
      </c>
      <c r="AK21" s="87" t="inlineStr">
        <is>
          <t>C1.1; C1.2; CC4.1; CC6.1; CC6.7; CC7.1; CC8.1; PI1.2</t>
        </is>
      </c>
      <c r="AL21" s="87" t="inlineStr">
        <is>
          <t>None</t>
        </is>
      </c>
      <c r="AM21" s="87" t="inlineStr">
        <is>
          <t>03 Quality and labeling; 04 Robustness and drift</t>
        </is>
      </c>
      <c r="AN21" s="87" t="inlineStr">
        <is>
          <t>None</t>
        </is>
      </c>
      <c r="AO21" s="87" t="inlineStr">
        <is>
          <t>OECD AI Principles: Principle 1.4; EU Ethics Guidelines: Technical robustness and safety, Privacy and data governance; UNESCO Recommendation: Safety and security, Right to privacy and data protection; IEEE 7000-series: IEEE 7002-2022; Council of Europe AI Convention: Art. 11, Art. 12; G7 Hiroshima Code: Action 1, Action 2</t>
        </is>
      </c>
      <c r="AP21" s="87" t="inlineStr">
        <is>
          <t>GCC: U1, S1, Q1; EU: E1c, E2; UK: UK2; US: US17; Brazil: BR2; India: IN1; Singapore: SG4, SG5, MAS 5.4, MAS 5.14 to 5.15, MAS 5.22, MAS 5.24</t>
        </is>
      </c>
      <c r="AQ21" s="88" t="n">
        <v>150</v>
      </c>
      <c r="AR21" s="88" t="n">
        <v>90</v>
      </c>
      <c r="AS21" s="85" t="n"/>
      <c r="AT21" s="85" t="n"/>
      <c r="AU21" s="21">
        <f>IF(OR(AS21="",AT21=""),"",AS21*AT21)</f>
        <v/>
      </c>
      <c r="AV21" s="21">
        <f>IF(AU21="","",INDEX(Settings!$A$20:$A$23,MATCH(AU21,Settings!$B$20:$B$23,1)))</f>
        <v/>
      </c>
      <c r="AW21" s="21">
        <f>IF(AV21&lt;&gt;"",AV21,T21)</f>
        <v/>
      </c>
      <c r="AX21" s="21">
        <f>IF(AW21="","",IF(MATCH(AW21,Settings!$A$20:$A$23,0)&lt;=MATCH(Settings!$C$28,Settings!$A$20:$A$23,0),"Yes","No"))</f>
        <v/>
      </c>
      <c r="AY21" s="81">
        <f>IF(AW21="","",IF(AX21="Yes",INDEX(Settings!$G$20:$G$23,MATCH(AW21,Settings!$A$20:$A$23,0)),INDEX(Settings!$G$20:$G$23,MATCH(AW21,Settings!$A$20:$A$23,0))&amp;" (outside appetite)"))</f>
        <v/>
      </c>
      <c r="AZ21" s="82" t="n"/>
      <c r="BA21" s="82" t="n"/>
      <c r="BB21" s="89" t="n"/>
      <c r="BC21" s="90">
        <f>IF(OR(BB21="",T21=""),"",BB21+INDEX(Settings!$E$20:$E$23,MATCH(T21,Settings!$A$20:$A$23,0)))</f>
        <v/>
      </c>
      <c r="BD21" s="89" t="n"/>
      <c r="BE21" s="82" t="n"/>
      <c r="BF21" s="81">
        <f>IF(A21="","",IF(OR(BE21="Closed",BE21="Accepted"),"No action",IF(BB21="","Set date identified",IF(TODAY()&gt;BC21,"Deadline exceeded",IF(BC21-TODAY()&lt;=Settings!$C$30,"Deadline approaching","On track")))))</f>
        <v/>
      </c>
      <c r="BG21" s="89" t="n"/>
      <c r="BH21" s="89" t="n"/>
      <c r="BI21" s="90">
        <f>IF(OR(BH21="",AW21=""),"",EDATE(BH21,INDEX(Settings!$F$20:$F$23,MATCH(AW21,Settings!$A$20:$A$23,0))))</f>
        <v/>
      </c>
      <c r="BJ21" s="21">
        <f>IF(T21="","",IF(MAX(IF(T21="",0,MATCH(T21,Settings!$A$20:$A$23,0)),IF(AV21="",0,MATCH(AV21,Settings!$A$20:$A$23,0)))&gt;=MATCH(Settings!$C$29,Settings!$A$20:$A$23,0),"Yes","No"))</f>
        <v/>
      </c>
      <c r="BK21" s="82" t="n"/>
      <c r="BL21" s="81">
        <f>IF(A21="","",IF(TRIM(IF(W21="","Treatment not chosen. ","")&amp;IF(AND(W21="Accept",AX21="No"),"Accepted outside appetite: record approval by "&amp;INDEX(Settings!$G$20:$G$23,MATCH(AW21,Settings!$A$20:$A$23,0))&amp;". ","")&amp;IF(AND(W21="Accept",BG21=""),"Acceptance expiry missing. ","")&amp;IF(AND(BG21&lt;&gt;"",BG21&lt;TODAY()),"Acceptance expired. ","")&amp;IF(AND(W21&lt;&gt;"",W21&lt;&gt;"Accept",AV21=""),"Target rating not set. ","")&amp;IF(AND(BE21="Closed",AX21="No"),"Closed while outside appetite. ","")&amp;IF(AND(W21="Transfer",BE21&lt;&gt;"Transferred",BE21&lt;&gt;"Closed"),"Transfer: record the contract, SLA and audit rights. ","")&amp;IF(AZ21="","Risk owner missing. ","")&amp;IF(K21="","Scenario not written. ",""))="","OK",TRIM(IF(W21="","Treatment not chosen. ","")&amp;IF(AND(W21="Accept",AX21="No"),"Accepted outside appetite: record approval by "&amp;INDEX(Settings!$G$20:$G$23,MATCH(AW21,Settings!$A$20:$A$23,0))&amp;". ","")&amp;IF(AND(W21="Accept",BG21=""),"Acceptance expiry missing. ","")&amp;IF(AND(BG21&lt;&gt;"",BG21&lt;TODAY()),"Acceptance expired. ","")&amp;IF(AND(W21&lt;&gt;"",W21&lt;&gt;"Accept",AV21=""),"Target rating not set. ","")&amp;IF(AND(BE21="Closed",AX21="No"),"Closed while outside appetite. ","")&amp;IF(AND(W21="Transfer",BE21&lt;&gt;"Transferred",BE21&lt;&gt;"Closed"),"Transfer: record the contract, SLA and audit rights. ","")&amp;IF(AZ21="","Risk owner missing. ","")&amp;IF(K21="","Scenario not written. ",""))))</f>
        <v/>
      </c>
      <c r="BM21" s="82" t="inlineStr">
        <is>
          <t>Wiki example ratings: likelihood Medium, impact High, residual High, priority 17.</t>
        </is>
      </c>
    </row>
    <row r="22" ht="105" customHeight="1">
      <c r="A22" s="91" t="inlineStr">
        <is>
          <t>AI-R18</t>
        </is>
      </c>
      <c r="B22" s="92" t="inlineStr">
        <is>
          <t>Model Overreach and Use Beyond Approved Purpose</t>
        </is>
      </c>
      <c r="C22" s="80" t="inlineStr">
        <is>
          <t>01</t>
        </is>
      </c>
      <c r="D22" s="81">
        <f>IF(C22="","",IFERROR(INDEX(Lists!$O$2:$O$13,MATCH(C22,Lists!$N$2:$N$13,0)),"Check domain code"))</f>
        <v/>
      </c>
      <c r="E22" s="81">
        <f>IF(C22="","",IFERROR(INDEX(Lists!$P$2:$P$13,MATCH(C22,Lists!$N$2:$N$13,0)),""))</f>
        <v/>
      </c>
      <c r="F22" s="80" t="n"/>
      <c r="G22" s="82" t="inlineStr">
        <is>
          <t>Enterprise-wide (all AI use)</t>
        </is>
      </c>
      <c r="H22" s="82" t="n"/>
      <c r="I22" s="82" t="n"/>
      <c r="J22" s="93" t="inlineStr">
        <is>
          <t>A system approved for a low-risk purpose may later be used for a higher-risk one, or its autonomy and data access may grow without a new assessment. Required controls include a purpose statement per use case, change triggers that force reassessment and monitoring of actual use against the approved purpose.</t>
        </is>
      </c>
      <c r="K22" s="82" t="n"/>
      <c r="L22" s="82" t="n"/>
      <c r="M22" s="94" t="inlineStr">
        <is>
          <t>A2; D6</t>
        </is>
      </c>
      <c r="N22" s="21">
        <f>IF(COUNTIF(Triage!$E$6:$E$48,"Yes")+COUNTIF(Triage!$E$6:$E$48,"No")=0,"Not triaged",IF(SUMPRODUCT(COUNTIFS(Triage!$A$6:$A$48,{"A2","D6"},Triage!$E$6:$E$48,"Yes"))&gt;0,"Applies","Not triggered"))</f>
        <v/>
      </c>
      <c r="O22" s="82" t="n"/>
      <c r="P22" s="85" t="n"/>
      <c r="Q22" s="85" t="n">
        <v>2</v>
      </c>
      <c r="R22" s="85" t="n">
        <v>3</v>
      </c>
      <c r="S22" s="21">
        <f>IF(OR(Q22="",R22=""),"",Q22*R22)</f>
        <v/>
      </c>
      <c r="T22" s="21">
        <f>IF(S22="","",INDEX(Settings!$A$20:$A$23,MATCH(S22,Settings!$B$20:$B$23,1)))</f>
        <v/>
      </c>
      <c r="U22" s="82" t="inlineStr">
        <is>
          <t>Qualitative (4 x 4)</t>
        </is>
      </c>
      <c r="V22" s="86" t="n"/>
      <c r="W22" s="85" t="n"/>
      <c r="X22" s="82" t="n"/>
      <c r="Y22" s="95" t="inlineStr">
        <is>
          <t>AI-CTRL-011, AI-CTRL-012, AI-CTRL-037, AI-CTRL-045</t>
        </is>
      </c>
      <c r="Z22" s="95" t="inlineStr">
        <is>
          <t>AI-CTRL-011, AI-CTRL-012</t>
        </is>
      </c>
      <c r="AA22" s="95" t="inlineStr">
        <is>
          <t>Purpose statements; change triggers; use monitoring</t>
        </is>
      </c>
      <c r="AB22" s="95" t="inlineStr">
        <is>
          <t>Approved purpose records; change-trigger logs; reassessment records</t>
        </is>
      </c>
      <c r="AC22" s="95" t="inlineStr">
        <is>
          <t>A.2.2; A.2.3; A.2.4; A.3.2; A.4.2; A.5.2; A.9.2; A.9.3; A.9.4; Clause 6.1.2; Clause 6.1.3</t>
        </is>
      </c>
      <c r="AD22" s="95" t="inlineStr">
        <is>
          <t>A.5.1; A.5.2; A.5.4; A.5.8; A.5.9; A.5.10; A.5.12; A.6.2; A.6.4; Clause 6.1.2; Clause 6.1.3</t>
        </is>
      </c>
      <c r="AE22" s="95" t="inlineStr">
        <is>
          <t>GOVERN 1.2; GOVERN 1.3; GOVERN 1.4; GOVERN 1.6; GOVERN 1.7; GOVERN 2.1; GOVERN 2.2; GOVERN 3.2; MANAGE 1.2; MANAGE 1.4; MAP 1.1; MAP 1.5; MAP 3.5</t>
        </is>
      </c>
      <c r="AF22" s="95" t="inlineStr">
        <is>
          <t>ASI09; LLM06:2025</t>
        </is>
      </c>
      <c r="AG22" s="95" t="inlineStr"/>
      <c r="AH22" s="95" t="inlineStr">
        <is>
          <t>AIR-OP-018; AIR-OP-014</t>
        </is>
      </c>
      <c r="AI22" s="95" t="inlineStr">
        <is>
          <t>GV.PO; GV.RM; GV.RR; ID.AM; ID.RA</t>
        </is>
      </c>
      <c r="AJ22" s="96" t="inlineStr">
        <is>
          <t>CIS 1; CIS 2</t>
        </is>
      </c>
      <c r="AK22" s="95" t="inlineStr">
        <is>
          <t>CC1.3; CC2.2; CC3.1; CC3.2; CC5.3; CC9.1</t>
        </is>
      </c>
      <c r="AL22" s="95" t="inlineStr">
        <is>
          <t>None</t>
        </is>
      </c>
      <c r="AM22" s="95" t="inlineStr">
        <is>
          <t>01 Governance and oversight; 02 Use-case selection and sourcing</t>
        </is>
      </c>
      <c r="AN22" s="95" t="inlineStr">
        <is>
          <t>None</t>
        </is>
      </c>
      <c r="AO22" s="95" t="inlineStr">
        <is>
          <t>OECD AI Principles: Principle 1.1, Principle 1.2, Principle 1.5; EU Ethics Guidelines: Human agency and oversight, Accountability; UNESCO Recommendation: Proportionality and do no harm, Multi-stakeholder and adaptive governance ..., Responsibility and accountability, Human oversight and determination; Council of Europe AI Convention: Art. 7, Art. 8, Art. 9, 14, 15, Art. 16; G7 Hiroshima Code: Action 1, Action 5</t>
        </is>
      </c>
      <c r="AP22" s="95" t="inlineStr">
        <is>
          <t>GCC: U3, U4, U6, U9, U12, S2, S3, S5, Q3, Q4, B2, O1; EU: E1a, E1b, E1c, E8, E12, E14, E17; UK: UK1, UK5, UK6, UK11, UK13; US: US5, US6, US8, US9, US12, US14, US15, US16; Australia: AU1, AU4, AU7; Brazil: BR1, BR3; Canada: CA4, CA5, CA6, CA8; China: CN1, CN2, CN5; India: IN4, IN5, IN6, IN7, IN8, IN13; Japan: JP1, JP2, JP3, JP6; Singapore: SG1, SG2, SG5, MAS 1.6, 2.1 to 2.2, MAS 2.3 to 2.5, MAS 3.1 to 3.4, MAS 3.5, MAS 1.5, 3.6, MAS 4.2 to 4.4, MAS 4.5 to 4.9, MAS 4.10 to 4.13, MAS 5.9, MAS 5.26; South: KR3, KR4, KR5, KR6</t>
        </is>
      </c>
      <c r="AQ22" s="96" t="n">
        <v>190</v>
      </c>
      <c r="AR22" s="96" t="n">
        <v>41</v>
      </c>
      <c r="AS22" s="85" t="n"/>
      <c r="AT22" s="85" t="n"/>
      <c r="AU22" s="21">
        <f>IF(OR(AS22="",AT22=""),"",AS22*AT22)</f>
        <v/>
      </c>
      <c r="AV22" s="21">
        <f>IF(AU22="","",INDEX(Settings!$A$20:$A$23,MATCH(AU22,Settings!$B$20:$B$23,1)))</f>
        <v/>
      </c>
      <c r="AW22" s="21">
        <f>IF(AV22&lt;&gt;"",AV22,T22)</f>
        <v/>
      </c>
      <c r="AX22" s="21">
        <f>IF(AW22="","",IF(MATCH(AW22,Settings!$A$20:$A$23,0)&lt;=MATCH(Settings!$C$28,Settings!$A$20:$A$23,0),"Yes","No"))</f>
        <v/>
      </c>
      <c r="AY22" s="81">
        <f>IF(AW22="","",IF(AX22="Yes",INDEX(Settings!$G$20:$G$23,MATCH(AW22,Settings!$A$20:$A$23,0)),INDEX(Settings!$G$20:$G$23,MATCH(AW22,Settings!$A$20:$A$23,0))&amp;" (outside appetite)"))</f>
        <v/>
      </c>
      <c r="AZ22" s="82" t="n"/>
      <c r="BA22" s="82" t="n"/>
      <c r="BB22" s="89" t="n"/>
      <c r="BC22" s="90">
        <f>IF(OR(BB22="",T22=""),"",BB22+INDEX(Settings!$E$20:$E$23,MATCH(T22,Settings!$A$20:$A$23,0)))</f>
        <v/>
      </c>
      <c r="BD22" s="89" t="n"/>
      <c r="BE22" s="82" t="n"/>
      <c r="BF22" s="81">
        <f>IF(A22="","",IF(OR(BE22="Closed",BE22="Accepted"),"No action",IF(BB22="","Set date identified",IF(TODAY()&gt;BC22,"Deadline exceeded",IF(BC22-TODAY()&lt;=Settings!$C$30,"Deadline approaching","On track")))))</f>
        <v/>
      </c>
      <c r="BG22" s="89" t="n"/>
      <c r="BH22" s="89" t="n"/>
      <c r="BI22" s="90">
        <f>IF(OR(BH22="",AW22=""),"",EDATE(BH22,INDEX(Settings!$F$20:$F$23,MATCH(AW22,Settings!$A$20:$A$23,0))))</f>
        <v/>
      </c>
      <c r="BJ22" s="21">
        <f>IF(T22="","",IF(MAX(IF(T22="",0,MATCH(T22,Settings!$A$20:$A$23,0)),IF(AV22="",0,MATCH(AV22,Settings!$A$20:$A$23,0)))&gt;=MATCH(Settings!$C$29,Settings!$A$20:$A$23,0),"Yes","No"))</f>
        <v/>
      </c>
      <c r="BK22" s="82" t="n"/>
      <c r="BL22" s="81">
        <f>IF(A22="","",IF(TRIM(IF(W22="","Treatment not chosen. ","")&amp;IF(AND(W22="Accept",AX22="No"),"Accepted outside appetite: record approval by "&amp;INDEX(Settings!$G$20:$G$23,MATCH(AW22,Settings!$A$20:$A$23,0))&amp;". ","")&amp;IF(AND(W22="Accept",BG22=""),"Acceptance expiry missing. ","")&amp;IF(AND(BG22&lt;&gt;"",BG22&lt;TODAY()),"Acceptance expired. ","")&amp;IF(AND(W22&lt;&gt;"",W22&lt;&gt;"Accept",AV22=""),"Target rating not set. ","")&amp;IF(AND(BE22="Closed",AX22="No"),"Closed while outside appetite. ","")&amp;IF(AND(W22="Transfer",BE22&lt;&gt;"Transferred",BE22&lt;&gt;"Closed"),"Transfer: record the contract, SLA and audit rights. ","")&amp;IF(AZ22="","Risk owner missing. ","")&amp;IF(K22="","Scenario not written. ",""))="","OK",TRIM(IF(W22="","Treatment not chosen. ","")&amp;IF(AND(W22="Accept",AX22="No"),"Accepted outside appetite: record approval by "&amp;INDEX(Settings!$G$20:$G$23,MATCH(AW22,Settings!$A$20:$A$23,0))&amp;". ","")&amp;IF(AND(W22="Accept",BG22=""),"Acceptance expiry missing. ","")&amp;IF(AND(BG22&lt;&gt;"",BG22&lt;TODAY()),"Acceptance expired. ","")&amp;IF(AND(W22&lt;&gt;"",W22&lt;&gt;"Accept",AV22=""),"Target rating not set. ","")&amp;IF(AND(BE22="Closed",AX22="No"),"Closed while outside appetite. ","")&amp;IF(AND(W22="Transfer",BE22&lt;&gt;"Transferred",BE22&lt;&gt;"Closed"),"Transfer: record the contract, SLA and audit rights. ","")&amp;IF(AZ22="","Risk owner missing. ","")&amp;IF(K22="","Scenario not written. ",""))))</f>
        <v/>
      </c>
      <c r="BM22" s="82" t="inlineStr">
        <is>
          <t>Wiki example ratings: likelihood Medium, impact High, residual High, priority 18.</t>
        </is>
      </c>
    </row>
    <row r="23" ht="105" customHeight="1">
      <c r="A23" s="78" t="inlineStr">
        <is>
          <t>AI-R19</t>
        </is>
      </c>
      <c r="B23" s="79" t="inlineStr">
        <is>
          <t>Insufficient or Ineffective Human Oversight</t>
        </is>
      </c>
      <c r="C23" s="80" t="inlineStr">
        <is>
          <t>06</t>
        </is>
      </c>
      <c r="D23" s="81">
        <f>IF(C23="","",IFERROR(INDEX(Lists!$O$2:$O$13,MATCH(C23,Lists!$N$2:$N$13,0)),"Check domain code"))</f>
        <v/>
      </c>
      <c r="E23" s="81">
        <f>IF(C23="","",IFERROR(INDEX(Lists!$P$2:$P$13,MATCH(C23,Lists!$N$2:$N$13,0)),""))</f>
        <v/>
      </c>
      <c r="F23" s="80" t="n"/>
      <c r="G23" s="82" t="inlineStr">
        <is>
          <t>Enterprise-wide (all AI use)</t>
        </is>
      </c>
      <c r="H23" s="82" t="n"/>
      <c r="I23" s="82" t="n"/>
      <c r="J23" s="83" t="inlineStr">
        <is>
          <t>A person may be nominally in the loop but unable or unwilling to review meaningfully, through automation bias, missing context, no authority to override or a volume that forces rubber-stamping. Required controls include oversight points set by risk tier, reviewer context, authority and training, and effectiveness measures such as override rates and sampled re-review.</t>
        </is>
      </c>
      <c r="K23" s="82" t="n"/>
      <c r="L23" s="82" t="n"/>
      <c r="M23" s="84" t="inlineStr">
        <is>
          <t>A2; C1; C5</t>
        </is>
      </c>
      <c r="N23" s="21">
        <f>IF(COUNTIF(Triage!$E$6:$E$48,"Yes")+COUNTIF(Triage!$E$6:$E$48,"No")=0,"Not triaged",IF(SUMPRODUCT(COUNTIFS(Triage!$A$6:$A$48,{"A2","C1","C5"},Triage!$E$6:$E$48,"Yes"))&gt;0,"Applies","Not triggered"))</f>
        <v/>
      </c>
      <c r="O23" s="82" t="n"/>
      <c r="P23" s="85" t="n"/>
      <c r="Q23" s="85" t="n">
        <v>2</v>
      </c>
      <c r="R23" s="85" t="n">
        <v>3</v>
      </c>
      <c r="S23" s="21">
        <f>IF(OR(Q23="",R23=""),"",Q23*R23)</f>
        <v/>
      </c>
      <c r="T23" s="21">
        <f>IF(S23="","",INDEX(Settings!$A$20:$A$23,MATCH(S23,Settings!$B$20:$B$23,1)))</f>
        <v/>
      </c>
      <c r="U23" s="82" t="inlineStr">
        <is>
          <t>Qualitative (4 x 4)</t>
        </is>
      </c>
      <c r="V23" s="86" t="n"/>
      <c r="W23" s="85" t="n"/>
      <c r="X23" s="82" t="n"/>
      <c r="Y23" s="87" t="inlineStr">
        <is>
          <t>AI-CTRL-012, AI-CTRL-023, AI-CTRL-044, AI-CTRL-045</t>
        </is>
      </c>
      <c r="Z23" s="87" t="inlineStr">
        <is>
          <t>AI-CTRL-012, AI-CTRL-023</t>
        </is>
      </c>
      <c r="AA23" s="87" t="inlineStr">
        <is>
          <t>Oversight design by tier; reviewer authority and training; effectiveness measures</t>
        </is>
      </c>
      <c r="AB23" s="87" t="inlineStr">
        <is>
          <t>Oversight design records; reviewer authority and training records; override metrics</t>
        </is>
      </c>
      <c r="AC23" s="87" t="inlineStr">
        <is>
          <t>A.2.2; A.2.3; A.2.4; A.3.2; A.4.6; A.9.2; A.9.3; Clause 7.2; Clause 7.3</t>
        </is>
      </c>
      <c r="AD23" s="87" t="inlineStr">
        <is>
          <t>A.5.1; A.5.2; A.5.3; A.5.4; A.5.10; A.6.2; A.6.3; A.6.4</t>
        </is>
      </c>
      <c r="AE23" s="87" t="inlineStr">
        <is>
          <t>GOVERN 1.2; GOVERN 1.4; GOVERN 2.1; GOVERN 2.2; GOVERN 3.2; MAP 3.4; MAP 3.5</t>
        </is>
      </c>
      <c r="AF23" s="87" t="inlineStr">
        <is>
          <t>ASI09; LLM06:2025</t>
        </is>
      </c>
      <c r="AG23" s="87" t="inlineStr">
        <is>
          <t>AML.T0053; AML.T0101</t>
        </is>
      </c>
      <c r="AH23" s="87" t="inlineStr">
        <is>
          <t>AIR-RC-022</t>
        </is>
      </c>
      <c r="AI23" s="87" t="inlineStr">
        <is>
          <t>GV.PO; GV.RR; PR.AA; PR.AT</t>
        </is>
      </c>
      <c r="AJ23" s="88" t="inlineStr">
        <is>
          <t>CIS 14</t>
        </is>
      </c>
      <c r="AK23" s="87" t="inlineStr">
        <is>
          <t>CC1.3; CC1.4; CC2.2; CC5.3</t>
        </is>
      </c>
      <c r="AL23" s="87" t="inlineStr">
        <is>
          <t>Human-AI Configuration</t>
        </is>
      </c>
      <c r="AM23" s="87" t="inlineStr">
        <is>
          <t>06 Human agency and over-reliance; 12 Autonomy, alignment and oversight</t>
        </is>
      </c>
      <c r="AN23" s="87" t="inlineStr">
        <is>
          <t>None</t>
        </is>
      </c>
      <c r="AO23" s="87" t="inlineStr">
        <is>
          <t>OECD AI Principles: Principle 1.2, Principle 1.5; EU Ethics Guidelines: Human agency and oversight, Accountability; UNESCO Recommendation: Multi-stakeholder and adaptive governance ..., Responsibility and accountability, Human oversight and determination, Awareness and literacy; Council of Europe AI Convention: Art. 7, Art. 8, Art. 9, 14, 15, Art. 20; G7 Hiroshima Code: Action 5</t>
        </is>
      </c>
      <c r="AP23" s="87" t="inlineStr">
        <is>
          <t>GCC: U3, U4, U6, U9, U12, S2, S3, Q3, Q4, B2, B4; EU: E1a, E1b, E1c, E12, E17; UK: UK1, UK3, UK5, UK13; US: US8, US9, US10, US12, US14, US15; Australia: AU1, AU4, AU7; Brazil: BR3; Canada: CA3, CA5, CA8; China: CN1, CN5, CN6; India: IN4, IN5, IN6, IN13; Japan: JP1, JP2, JP3; Singapore: SG1, SG2, SG5, MAS 2.3 to 2.5, MAS 3.1 to 3.4, MAS 3.5, MAS 1.5, 3.6, MAS 5.9, MAS 6.1 to 6.2; South: KR3, KR5, KR6</t>
        </is>
      </c>
      <c r="AQ23" s="88" t="n">
        <v>145</v>
      </c>
      <c r="AR23" s="88" t="n">
        <v>20</v>
      </c>
      <c r="AS23" s="85" t="n"/>
      <c r="AT23" s="85" t="n"/>
      <c r="AU23" s="21">
        <f>IF(OR(AS23="",AT23=""),"",AS23*AT23)</f>
        <v/>
      </c>
      <c r="AV23" s="21">
        <f>IF(AU23="","",INDEX(Settings!$A$20:$A$23,MATCH(AU23,Settings!$B$20:$B$23,1)))</f>
        <v/>
      </c>
      <c r="AW23" s="21">
        <f>IF(AV23&lt;&gt;"",AV23,T23)</f>
        <v/>
      </c>
      <c r="AX23" s="21">
        <f>IF(AW23="","",IF(MATCH(AW23,Settings!$A$20:$A$23,0)&lt;=MATCH(Settings!$C$28,Settings!$A$20:$A$23,0),"Yes","No"))</f>
        <v/>
      </c>
      <c r="AY23" s="81">
        <f>IF(AW23="","",IF(AX23="Yes",INDEX(Settings!$G$20:$G$23,MATCH(AW23,Settings!$A$20:$A$23,0)),INDEX(Settings!$G$20:$G$23,MATCH(AW23,Settings!$A$20:$A$23,0))&amp;" (outside appetite)"))</f>
        <v/>
      </c>
      <c r="AZ23" s="82" t="n"/>
      <c r="BA23" s="82" t="n"/>
      <c r="BB23" s="89" t="n"/>
      <c r="BC23" s="90">
        <f>IF(OR(BB23="",T23=""),"",BB23+INDEX(Settings!$E$20:$E$23,MATCH(T23,Settings!$A$20:$A$23,0)))</f>
        <v/>
      </c>
      <c r="BD23" s="89" t="n"/>
      <c r="BE23" s="82" t="n"/>
      <c r="BF23" s="81">
        <f>IF(A23="","",IF(OR(BE23="Closed",BE23="Accepted"),"No action",IF(BB23="","Set date identified",IF(TODAY()&gt;BC23,"Deadline exceeded",IF(BC23-TODAY()&lt;=Settings!$C$30,"Deadline approaching","On track")))))</f>
        <v/>
      </c>
      <c r="BG23" s="89" t="n"/>
      <c r="BH23" s="89" t="n"/>
      <c r="BI23" s="90">
        <f>IF(OR(BH23="",AW23=""),"",EDATE(BH23,INDEX(Settings!$F$20:$F$23,MATCH(AW23,Settings!$A$20:$A$23,0))))</f>
        <v/>
      </c>
      <c r="BJ23" s="21">
        <f>IF(T23="","",IF(MAX(IF(T23="",0,MATCH(T23,Settings!$A$20:$A$23,0)),IF(AV23="",0,MATCH(AV23,Settings!$A$20:$A$23,0)))&gt;=MATCH(Settings!$C$29,Settings!$A$20:$A$23,0),"Yes","No"))</f>
        <v/>
      </c>
      <c r="BK23" s="82" t="n"/>
      <c r="BL23" s="81">
        <f>IF(A23="","",IF(TRIM(IF(W23="","Treatment not chosen. ","")&amp;IF(AND(W23="Accept",AX23="No"),"Accepted outside appetite: record approval by "&amp;INDEX(Settings!$G$20:$G$23,MATCH(AW23,Settings!$A$20:$A$23,0))&amp;". ","")&amp;IF(AND(W23="Accept",BG23=""),"Acceptance expiry missing. ","")&amp;IF(AND(BG23&lt;&gt;"",BG23&lt;TODAY()),"Acceptance expired. ","")&amp;IF(AND(W23&lt;&gt;"",W23&lt;&gt;"Accept",AV23=""),"Target rating not set. ","")&amp;IF(AND(BE23="Closed",AX23="No"),"Closed while outside appetite. ","")&amp;IF(AND(W23="Transfer",BE23&lt;&gt;"Transferred",BE23&lt;&gt;"Closed"),"Transfer: record the contract, SLA and audit rights. ","")&amp;IF(AZ23="","Risk owner missing. ","")&amp;IF(K23="","Scenario not written. ",""))="","OK",TRIM(IF(W23="","Treatment not chosen. ","")&amp;IF(AND(W23="Accept",AX23="No"),"Accepted outside appetite: record approval by "&amp;INDEX(Settings!$G$20:$G$23,MATCH(AW23,Settings!$A$20:$A$23,0))&amp;". ","")&amp;IF(AND(W23="Accept",BG23=""),"Acceptance expiry missing. ","")&amp;IF(AND(BG23&lt;&gt;"",BG23&lt;TODAY()),"Acceptance expired. ","")&amp;IF(AND(W23&lt;&gt;"",W23&lt;&gt;"Accept",AV23=""),"Target rating not set. ","")&amp;IF(AND(BE23="Closed",AX23="No"),"Closed while outside appetite. ","")&amp;IF(AND(W23="Transfer",BE23&lt;&gt;"Transferred",BE23&lt;&gt;"Closed"),"Transfer: record the contract, SLA and audit rights. ","")&amp;IF(AZ23="","Risk owner missing. ","")&amp;IF(K23="","Scenario not written. ",""))))</f>
        <v/>
      </c>
      <c r="BM23" s="82" t="inlineStr">
        <is>
          <t>Wiki example ratings: likelihood Medium, impact High, residual High, priority 19.</t>
        </is>
      </c>
    </row>
    <row r="24" ht="105" customHeight="1">
      <c r="A24" s="91" t="inlineStr">
        <is>
          <t>AI-R20</t>
        </is>
      </c>
      <c r="B24" s="92" t="inlineStr">
        <is>
          <t>Reputational Harm from AI Behaviour</t>
        </is>
      </c>
      <c r="C24" s="80" t="inlineStr">
        <is>
          <t>10</t>
        </is>
      </c>
      <c r="D24" s="81">
        <f>IF(C24="","",IFERROR(INDEX(Lists!$O$2:$O$13,MATCH(C24,Lists!$N$2:$N$13,0)),"Check domain code"))</f>
        <v/>
      </c>
      <c r="E24" s="81">
        <f>IF(C24="","",IFERROR(INDEX(Lists!$P$2:$P$13,MATCH(C24,Lists!$N$2:$N$13,0)),""))</f>
        <v/>
      </c>
      <c r="F24" s="80" t="n"/>
      <c r="G24" s="82" t="inlineStr">
        <is>
          <t>Enterprise-wide (all AI use)</t>
        </is>
      </c>
      <c r="H24" s="82" t="n"/>
      <c r="I24" s="82" t="n"/>
      <c r="J24" s="93" t="inlineStr">
        <is>
          <t>A public-facing or customer-facing AI system may say something offensive, misleading or off-brand, or make a commitment the organisation did not intend, and the output becomes public. Required controls include content filtering, topic restriction, adversarial testing before release and a public-incident response path.</t>
        </is>
      </c>
      <c r="K24" s="82" t="n"/>
      <c r="L24" s="82" t="n"/>
      <c r="M24" s="94" t="inlineStr">
        <is>
          <t>C2; D4</t>
        </is>
      </c>
      <c r="N24" s="21">
        <f>IF(COUNTIF(Triage!$E$6:$E$48,"Yes")+COUNTIF(Triage!$E$6:$E$48,"No")=0,"Not triaged",IF(SUMPRODUCT(COUNTIFS(Triage!$A$6:$A$48,{"C2","D4"},Triage!$E$6:$E$48,"Yes"))&gt;0,"Applies","Not triggered"))</f>
        <v/>
      </c>
      <c r="O24" s="82" t="n"/>
      <c r="P24" s="85" t="n"/>
      <c r="Q24" s="85" t="n">
        <v>2</v>
      </c>
      <c r="R24" s="85" t="n">
        <v>3</v>
      </c>
      <c r="S24" s="21">
        <f>IF(OR(Q24="",R24=""),"",Q24*R24)</f>
        <v/>
      </c>
      <c r="T24" s="21">
        <f>IF(S24="","",INDEX(Settings!$A$20:$A$23,MATCH(S24,Settings!$B$20:$B$23,1)))</f>
        <v/>
      </c>
      <c r="U24" s="82" t="inlineStr">
        <is>
          <t>Qualitative (4 x 4)</t>
        </is>
      </c>
      <c r="V24" s="86" t="n"/>
      <c r="W24" s="85" t="n"/>
      <c r="X24" s="82" t="n"/>
      <c r="Y24" s="95" t="inlineStr">
        <is>
          <t>AI-CTRL-034, AI-CTRL-035, AI-CTRL-039</t>
        </is>
      </c>
      <c r="Z24" s="95" t="inlineStr">
        <is>
          <t>AI-CTRL-035</t>
        </is>
      </c>
      <c r="AA24" s="95" t="inlineStr">
        <is>
          <t>Content safety; adversarial testing; public incident response</t>
        </is>
      </c>
      <c r="AB24" s="95" t="inlineStr">
        <is>
          <t>Filter results; red team reports; communications playbook</t>
        </is>
      </c>
      <c r="AC24" s="95" t="inlineStr">
        <is>
          <t>A.3.3; A.6.2.4; A.6.2.6; A.8.2; A.8.3; A.8.4</t>
        </is>
      </c>
      <c r="AD24" s="95" t="inlineStr">
        <is>
          <t>A.5.7; A.5.24; A.5.25; A.5.26; A.5.27; A.5.28; A.5.37; A.6.8; A.8.8; A.8.29; A.8.34</t>
        </is>
      </c>
      <c r="AE24" s="95" t="inlineStr">
        <is>
          <t>GOVERN 4.3; GOVERN 6.2; MANAGE 2.3; MANAGE 4.3; MAP 2.2; MEASURE 2.1; MEASURE 2.5; MEASURE 2.6; MEASURE 2.7</t>
        </is>
      </c>
      <c r="AF24" s="95" t="inlineStr">
        <is>
          <t>LLM01:2025; LLM02:2025; LLM03:2025; LLM04:2025; LLM05:2025; LLM06:2025; LLM07:2025; LLM08:2025; LLM09:2025; LLM10:2025</t>
        </is>
      </c>
      <c r="AG24" s="95" t="inlineStr">
        <is>
          <t>AML.T0048; AML.T0060; AML.T0062</t>
        </is>
      </c>
      <c r="AH24" s="95" t="inlineStr">
        <is>
          <t>AIR-OP-020</t>
        </is>
      </c>
      <c r="AI24" s="95" t="inlineStr">
        <is>
          <t>DE.AE; ID.IM; ID.RA; RC.RP; RS.AN; RS.CO; RS.MA; RS.MI</t>
        </is>
      </c>
      <c r="AJ24" s="96" t="inlineStr">
        <is>
          <t>CIS 7; CIS 17; CIS 18</t>
        </is>
      </c>
      <c r="AK24" s="95" t="inlineStr">
        <is>
          <t>CC4.1; CC7.1; CC7.3; CC7.4; CC7.5; PI1.3; PI1.4</t>
        </is>
      </c>
      <c r="AL24" s="95" t="inlineStr">
        <is>
          <t>Dangerous, Violent, or Hateful Content; Information Integrity</t>
        </is>
      </c>
      <c r="AM24" s="95" t="inlineStr">
        <is>
          <t>06 Harmful / inaccurate output; 10 Societal and reputational</t>
        </is>
      </c>
      <c r="AN24" s="95" t="inlineStr">
        <is>
          <t>None</t>
        </is>
      </c>
      <c r="AO24" s="95" t="inlineStr">
        <is>
          <t>OECD AI Principles: Principle 1.3, Principle 1.4; EU Ethics Guidelines: Technical robustness and safety, Transparency; UNESCO Recommendation: Safety and security, Transparency and explainability; IEEE 7000-series: IEEE 7001-2021; Council of Europe AI Convention: Art. 8, Art. 12; G7 Hiroshima Code: Action 1, Action 2, Action 3, Action 4, Action 7</t>
        </is>
      </c>
      <c r="AP24" s="95" t="inlineStr">
        <is>
          <t>GCC: U1, U2, U3, U4, S2, Q3; EU: E1c, E1d, E2, E5, E6, E10, E16; UK: UK1, UK2, UK7, UK11; US: US7, US11, US14, US17; Australia: AU2, AU3, AU3a, AU6, AU6a, AU8; Brazil: BR2, BR4; Canada: CA2, CA4, CA5, CA7; China: CN1, CN2, CN3, CN4, CN6, CN7; India: IN1, IN2, IN3, IN4, IN9, IN10; Japan: JP3, JP4; Singapore: SG1, SG3, SG5, SG8, MAS 3.5, MAS 5.5 to 5.6, MAS 5.14 to 5.15, MAS 5.22, MAS 5.23, MAS 5.24; South: KR2, KR7</t>
        </is>
      </c>
      <c r="AQ24" s="96" t="n">
        <v>183</v>
      </c>
      <c r="AR24" s="96" t="n">
        <v>85</v>
      </c>
      <c r="AS24" s="85" t="n"/>
      <c r="AT24" s="85" t="n"/>
      <c r="AU24" s="21">
        <f>IF(OR(AS24="",AT24=""),"",AS24*AT24)</f>
        <v/>
      </c>
      <c r="AV24" s="21">
        <f>IF(AU24="","",INDEX(Settings!$A$20:$A$23,MATCH(AU24,Settings!$B$20:$B$23,1)))</f>
        <v/>
      </c>
      <c r="AW24" s="21">
        <f>IF(AV24&lt;&gt;"",AV24,T24)</f>
        <v/>
      </c>
      <c r="AX24" s="21">
        <f>IF(AW24="","",IF(MATCH(AW24,Settings!$A$20:$A$23,0)&lt;=MATCH(Settings!$C$28,Settings!$A$20:$A$23,0),"Yes","No"))</f>
        <v/>
      </c>
      <c r="AY24" s="81">
        <f>IF(AW24="","",IF(AX24="Yes",INDEX(Settings!$G$20:$G$23,MATCH(AW24,Settings!$A$20:$A$23,0)),INDEX(Settings!$G$20:$G$23,MATCH(AW24,Settings!$A$20:$A$23,0))&amp;" (outside appetite)"))</f>
        <v/>
      </c>
      <c r="AZ24" s="82" t="n"/>
      <c r="BA24" s="82" t="n"/>
      <c r="BB24" s="89" t="n"/>
      <c r="BC24" s="90">
        <f>IF(OR(BB24="",T24=""),"",BB24+INDEX(Settings!$E$20:$E$23,MATCH(T24,Settings!$A$20:$A$23,0)))</f>
        <v/>
      </c>
      <c r="BD24" s="89" t="n"/>
      <c r="BE24" s="82" t="n"/>
      <c r="BF24" s="81">
        <f>IF(A24="","",IF(OR(BE24="Closed",BE24="Accepted"),"No action",IF(BB24="","Set date identified",IF(TODAY()&gt;BC24,"Deadline exceeded",IF(BC24-TODAY()&lt;=Settings!$C$30,"Deadline approaching","On track")))))</f>
        <v/>
      </c>
      <c r="BG24" s="89" t="n"/>
      <c r="BH24" s="89" t="n"/>
      <c r="BI24" s="90">
        <f>IF(OR(BH24="",AW24=""),"",EDATE(BH24,INDEX(Settings!$F$20:$F$23,MATCH(AW24,Settings!$A$20:$A$23,0))))</f>
        <v/>
      </c>
      <c r="BJ24" s="21">
        <f>IF(T24="","",IF(MAX(IF(T24="",0,MATCH(T24,Settings!$A$20:$A$23,0)),IF(AV24="",0,MATCH(AV24,Settings!$A$20:$A$23,0)))&gt;=MATCH(Settings!$C$29,Settings!$A$20:$A$23,0),"Yes","No"))</f>
        <v/>
      </c>
      <c r="BK24" s="82" t="n"/>
      <c r="BL24" s="81">
        <f>IF(A24="","",IF(TRIM(IF(W24="","Treatment not chosen. ","")&amp;IF(AND(W24="Accept",AX24="No"),"Accepted outside appetite: record approval by "&amp;INDEX(Settings!$G$20:$G$23,MATCH(AW24,Settings!$A$20:$A$23,0))&amp;". ","")&amp;IF(AND(W24="Accept",BG24=""),"Acceptance expiry missing. ","")&amp;IF(AND(BG24&lt;&gt;"",BG24&lt;TODAY()),"Acceptance expired. ","")&amp;IF(AND(W24&lt;&gt;"",W24&lt;&gt;"Accept",AV24=""),"Target rating not set. ","")&amp;IF(AND(BE24="Closed",AX24="No"),"Closed while outside appetite. ","")&amp;IF(AND(W24="Transfer",BE24&lt;&gt;"Transferred",BE24&lt;&gt;"Closed"),"Transfer: record the contract, SLA and audit rights. ","")&amp;IF(AZ24="","Risk owner missing. ","")&amp;IF(K24="","Scenario not written. ",""))="","OK",TRIM(IF(W24="","Treatment not chosen. ","")&amp;IF(AND(W24="Accept",AX24="No"),"Accepted outside appetite: record approval by "&amp;INDEX(Settings!$G$20:$G$23,MATCH(AW24,Settings!$A$20:$A$23,0))&amp;". ","")&amp;IF(AND(W24="Accept",BG24=""),"Acceptance expiry missing. ","")&amp;IF(AND(BG24&lt;&gt;"",BG24&lt;TODAY()),"Acceptance expired. ","")&amp;IF(AND(W24&lt;&gt;"",W24&lt;&gt;"Accept",AV24=""),"Target rating not set. ","")&amp;IF(AND(BE24="Closed",AX24="No"),"Closed while outside appetite. ","")&amp;IF(AND(W24="Transfer",BE24&lt;&gt;"Transferred",BE24&lt;&gt;"Closed"),"Transfer: record the contract, SLA and audit rights. ","")&amp;IF(AZ24="","Risk owner missing. ","")&amp;IF(K24="","Scenario not written. ",""))))</f>
        <v/>
      </c>
      <c r="BM24" s="82" t="inlineStr">
        <is>
          <t>Wiki example ratings: likelihood Medium, impact High, residual Medium, priority 20.</t>
        </is>
      </c>
    </row>
    <row r="25" ht="105" customHeight="1">
      <c r="A25" s="78" t="inlineStr">
        <is>
          <t>AI-R21</t>
        </is>
      </c>
      <c r="B25" s="79" t="inlineStr">
        <is>
          <t>Agent Memory and State Persistence Poisoning</t>
        </is>
      </c>
      <c r="C25" s="80" t="inlineStr">
        <is>
          <t>12</t>
        </is>
      </c>
      <c r="D25" s="81">
        <f>IF(C25="","",IFERROR(INDEX(Lists!$O$2:$O$13,MATCH(C25,Lists!$N$2:$N$13,0)),"Check domain code"))</f>
        <v/>
      </c>
      <c r="E25" s="81">
        <f>IF(C25="","",IFERROR(INDEX(Lists!$P$2:$P$13,MATCH(C25,Lists!$N$2:$N$13,0)),""))</f>
        <v/>
      </c>
      <c r="F25" s="80" t="n"/>
      <c r="G25" s="82" t="inlineStr">
        <is>
          <t>Enterprise-wide (all AI use)</t>
        </is>
      </c>
      <c r="H25" s="82" t="n"/>
      <c r="I25" s="82" t="n"/>
      <c r="J25" s="83" t="inlineStr">
        <is>
          <t>Malicious or wrong content written into an agent's long-term memory or saved state can influence later sessions or other users and survive restarts. Required controls include memory integrity checks, provenance for stored entries, purge and rollback procedures and isolation of memory between users.</t>
        </is>
      </c>
      <c r="K25" s="82" t="n"/>
      <c r="L25" s="82" t="n"/>
      <c r="M25" s="84" t="inlineStr">
        <is>
          <t>A3</t>
        </is>
      </c>
      <c r="N25" s="21">
        <f>IF(COUNTIF(Triage!$E$6:$E$48,"Yes")+COUNTIF(Triage!$E$6:$E$48,"No")=0,"Not triaged",IF(SUMPRODUCT(COUNTIFS(Triage!$A$6:$A$48,{"A3"},Triage!$E$6:$E$48,"Yes"))&gt;0,"Applies","Not triggered"))</f>
        <v/>
      </c>
      <c r="O25" s="82" t="n"/>
      <c r="P25" s="85" t="n"/>
      <c r="Q25" s="85" t="n">
        <v>2</v>
      </c>
      <c r="R25" s="85" t="n">
        <v>3</v>
      </c>
      <c r="S25" s="21">
        <f>IF(OR(Q25="",R25=""),"",Q25*R25)</f>
        <v/>
      </c>
      <c r="T25" s="21">
        <f>IF(S25="","",INDEX(Settings!$A$20:$A$23,MATCH(S25,Settings!$B$20:$B$23,1)))</f>
        <v/>
      </c>
      <c r="U25" s="82" t="inlineStr">
        <is>
          <t>Qualitative (4 x 4)</t>
        </is>
      </c>
      <c r="V25" s="86" t="n"/>
      <c r="W25" s="85" t="n"/>
      <c r="X25" s="82" t="n"/>
      <c r="Y25" s="87" t="inlineStr">
        <is>
          <t>AI-CTRL-025, AI-CTRL-026, AI-CTRL-027</t>
        </is>
      </c>
      <c r="Z25" s="87" t="inlineStr">
        <is>
          <t>AI-CTRL-025, AI-CTRL-027</t>
        </is>
      </c>
      <c r="AA25" s="87" t="inlineStr">
        <is>
          <t>Memory integrity; provenance; purge and isolation</t>
        </is>
      </c>
      <c r="AB25" s="87" t="inlineStr">
        <is>
          <t>Memory configuration; purge tests; provenance logs</t>
        </is>
      </c>
      <c r="AC25" s="87" t="inlineStr">
        <is>
          <t>A.4.5; A.6.2.5; A.6.2.6</t>
        </is>
      </c>
      <c r="AD25" s="87" t="inlineStr">
        <is>
          <t>A.5.18; A.5.26; A.8.3; A.8.22; A.8.27; A.8.31</t>
        </is>
      </c>
      <c r="AE25" s="87" t="inlineStr">
        <is>
          <t>MANAGE 1.3; MANAGE 2.3; MANAGE 2.4; MEASURE 2.7; MEASURE 2.10</t>
        </is>
      </c>
      <c r="AF25" s="87" t="inlineStr">
        <is>
          <t>ASI05; ASI06; ASI08; ASI10; LLM01:2025; LLM04:2025; LLM06:2025</t>
        </is>
      </c>
      <c r="AG25" s="87" t="inlineStr">
        <is>
          <t>AML.T0034; AML.T0050; AML.T0053; AML.T0080; AML.T0092; AML.T0094; AML.T0102; AML.T0105</t>
        </is>
      </c>
      <c r="AH25" s="87" t="inlineStr">
        <is>
          <t>AIR-SEC-027</t>
        </is>
      </c>
      <c r="AI25" s="87" t="inlineStr">
        <is>
          <t>PR.DS; PR.IR; PR.PS; RS.MA; RS.MI</t>
        </is>
      </c>
      <c r="AJ25" s="88" t="inlineStr">
        <is>
          <t>CIS 3; CIS 4; CIS 6; CIS 12; CIS 16; CIS 17</t>
        </is>
      </c>
      <c r="AK25" s="87" t="inlineStr">
        <is>
          <t>CC6.1; CC6.2; CC6.6; CC6.8; CC7.4; PI1.5</t>
        </is>
      </c>
      <c r="AL25" s="87" t="inlineStr">
        <is>
          <t>None</t>
        </is>
      </c>
      <c r="AM25" s="87" t="inlineStr">
        <is>
          <t>03 Retention and disposal; 12 Memory and context integrity</t>
        </is>
      </c>
      <c r="AN25" s="87" t="inlineStr">
        <is>
          <t>MCP10:2025</t>
        </is>
      </c>
      <c r="AO25" s="87" t="inlineStr">
        <is>
          <t>OECD AI Principles: Principle 1.4; EU Ethics Guidelines: Human agency and oversight</t>
        </is>
      </c>
      <c r="AP25" s="87" t="inlineStr">
        <is>
          <t>GCC: U9; India: IN6, IN13; Singapore: SG2, SG5, SG7, MAS 5.3</t>
        </is>
      </c>
      <c r="AQ25" s="88" t="n">
        <v>82</v>
      </c>
      <c r="AR25" s="88" t="n">
        <v>33</v>
      </c>
      <c r="AS25" s="85" t="n"/>
      <c r="AT25" s="85" t="n"/>
      <c r="AU25" s="21">
        <f>IF(OR(AS25="",AT25=""),"",AS25*AT25)</f>
        <v/>
      </c>
      <c r="AV25" s="21">
        <f>IF(AU25="","",INDEX(Settings!$A$20:$A$23,MATCH(AU25,Settings!$B$20:$B$23,1)))</f>
        <v/>
      </c>
      <c r="AW25" s="21">
        <f>IF(AV25&lt;&gt;"",AV25,T25)</f>
        <v/>
      </c>
      <c r="AX25" s="21">
        <f>IF(AW25="","",IF(MATCH(AW25,Settings!$A$20:$A$23,0)&lt;=MATCH(Settings!$C$28,Settings!$A$20:$A$23,0),"Yes","No"))</f>
        <v/>
      </c>
      <c r="AY25" s="81">
        <f>IF(AW25="","",IF(AX25="Yes",INDEX(Settings!$G$20:$G$23,MATCH(AW25,Settings!$A$20:$A$23,0)),INDEX(Settings!$G$20:$G$23,MATCH(AW25,Settings!$A$20:$A$23,0))&amp;" (outside appetite)"))</f>
        <v/>
      </c>
      <c r="AZ25" s="82" t="n"/>
      <c r="BA25" s="82" t="n"/>
      <c r="BB25" s="89" t="n"/>
      <c r="BC25" s="90">
        <f>IF(OR(BB25="",T25=""),"",BB25+INDEX(Settings!$E$20:$E$23,MATCH(T25,Settings!$A$20:$A$23,0)))</f>
        <v/>
      </c>
      <c r="BD25" s="89" t="n"/>
      <c r="BE25" s="82" t="n"/>
      <c r="BF25" s="81">
        <f>IF(A25="","",IF(OR(BE25="Closed",BE25="Accepted"),"No action",IF(BB25="","Set date identified",IF(TODAY()&gt;BC25,"Deadline exceeded",IF(BC25-TODAY()&lt;=Settings!$C$30,"Deadline approaching","On track")))))</f>
        <v/>
      </c>
      <c r="BG25" s="89" t="n"/>
      <c r="BH25" s="89" t="n"/>
      <c r="BI25" s="90">
        <f>IF(OR(BH25="",AW25=""),"",EDATE(BH25,INDEX(Settings!$F$20:$F$23,MATCH(AW25,Settings!$A$20:$A$23,0))))</f>
        <v/>
      </c>
      <c r="BJ25" s="21">
        <f>IF(T25="","",IF(MAX(IF(T25="",0,MATCH(T25,Settings!$A$20:$A$23,0)),IF(AV25="",0,MATCH(AV25,Settings!$A$20:$A$23,0)))&gt;=MATCH(Settings!$C$29,Settings!$A$20:$A$23,0),"Yes","No"))</f>
        <v/>
      </c>
      <c r="BK25" s="82" t="n"/>
      <c r="BL25" s="81">
        <f>IF(A25="","",IF(TRIM(IF(W25="","Treatment not chosen. ","")&amp;IF(AND(W25="Accept",AX25="No"),"Accepted outside appetite: record approval by "&amp;INDEX(Settings!$G$20:$G$23,MATCH(AW25,Settings!$A$20:$A$23,0))&amp;". ","")&amp;IF(AND(W25="Accept",BG25=""),"Acceptance expiry missing. ","")&amp;IF(AND(BG25&lt;&gt;"",BG25&lt;TODAY()),"Acceptance expired. ","")&amp;IF(AND(W25&lt;&gt;"",W25&lt;&gt;"Accept",AV25=""),"Target rating not set. ","")&amp;IF(AND(BE25="Closed",AX25="No"),"Closed while outside appetite. ","")&amp;IF(AND(W25="Transfer",BE25&lt;&gt;"Transferred",BE25&lt;&gt;"Closed"),"Transfer: record the contract, SLA and audit rights. ","")&amp;IF(AZ25="","Risk owner missing. ","")&amp;IF(K25="","Scenario not written. ",""))="","OK",TRIM(IF(W25="","Treatment not chosen. ","")&amp;IF(AND(W25="Accept",AX25="No"),"Accepted outside appetite: record approval by "&amp;INDEX(Settings!$G$20:$G$23,MATCH(AW25,Settings!$A$20:$A$23,0))&amp;". ","")&amp;IF(AND(W25="Accept",BG25=""),"Acceptance expiry missing. ","")&amp;IF(AND(BG25&lt;&gt;"",BG25&lt;TODAY()),"Acceptance expired. ","")&amp;IF(AND(W25&lt;&gt;"",W25&lt;&gt;"Accept",AV25=""),"Target rating not set. ","")&amp;IF(AND(BE25="Closed",AX25="No"),"Closed while outside appetite. ","")&amp;IF(AND(W25="Transfer",BE25&lt;&gt;"Transferred",BE25&lt;&gt;"Closed"),"Transfer: record the contract, SLA and audit rights. ","")&amp;IF(AZ25="","Risk owner missing. ","")&amp;IF(K25="","Scenario not written. ",""))))</f>
        <v/>
      </c>
      <c r="BM25" s="82" t="inlineStr">
        <is>
          <t>Wiki example ratings: likelihood Medium, impact High, residual High, priority 21.</t>
        </is>
      </c>
    </row>
    <row r="26" ht="105" customHeight="1">
      <c r="A26" s="91" t="inlineStr">
        <is>
          <t>AI-R22</t>
        </is>
      </c>
      <c r="B26" s="92" t="inlineStr">
        <is>
          <t>Agent-Mediated Credential Discovery and Harvesting</t>
        </is>
      </c>
      <c r="C26" s="80" t="inlineStr">
        <is>
          <t>12</t>
        </is>
      </c>
      <c r="D26" s="81">
        <f>IF(C26="","",IFERROR(INDEX(Lists!$O$2:$O$13,MATCH(C26,Lists!$N$2:$N$13,0)),"Check domain code"))</f>
        <v/>
      </c>
      <c r="E26" s="81">
        <f>IF(C26="","",IFERROR(INDEX(Lists!$P$2:$P$13,MATCH(C26,Lists!$N$2:$N$13,0)),""))</f>
        <v/>
      </c>
      <c r="F26" s="80" t="n"/>
      <c r="G26" s="82" t="inlineStr">
        <is>
          <t>Enterprise-wide (all AI use)</t>
        </is>
      </c>
      <c r="H26" s="82" t="n"/>
      <c r="I26" s="82" t="n"/>
      <c r="J26" s="93" t="inlineStr">
        <is>
          <t>An agent with file, shell or environment access can find and use credentials it was never meant to hold, and an injected instruction can make it send them out. Required controls include keeping secrets out of agent-readable locations, short-lived scoped tokens issued at call time, canary credentials and separate identities for agents.</t>
        </is>
      </c>
      <c r="K26" s="82" t="n"/>
      <c r="L26" s="82" t="n"/>
      <c r="M26" s="94" t="inlineStr">
        <is>
          <t>A1; A5</t>
        </is>
      </c>
      <c r="N26" s="21">
        <f>IF(COUNTIF(Triage!$E$6:$E$48,"Yes")+COUNTIF(Triage!$E$6:$E$48,"No")=0,"Not triaged",IF(SUMPRODUCT(COUNTIFS(Triage!$A$6:$A$48,{"A1","A5"},Triage!$E$6:$E$48,"Yes"))&gt;0,"Applies","Not triggered"))</f>
        <v/>
      </c>
      <c r="O26" s="82" t="n"/>
      <c r="P26" s="85" t="n"/>
      <c r="Q26" s="85" t="n">
        <v>2</v>
      </c>
      <c r="R26" s="85" t="n">
        <v>4</v>
      </c>
      <c r="S26" s="21">
        <f>IF(OR(Q26="",R26=""),"",Q26*R26)</f>
        <v/>
      </c>
      <c r="T26" s="21">
        <f>IF(S26="","",INDEX(Settings!$A$20:$A$23,MATCH(S26,Settings!$B$20:$B$23,1)))</f>
        <v/>
      </c>
      <c r="U26" s="82" t="inlineStr">
        <is>
          <t>Qualitative (4 x 4)</t>
        </is>
      </c>
      <c r="V26" s="86" t="n"/>
      <c r="W26" s="85" t="n"/>
      <c r="X26" s="82" t="n"/>
      <c r="Y26" s="95" t="inlineStr">
        <is>
          <t>AI-CTRL-004, AI-CTRL-015, AI-CTRL-016, AI-CTRL-027</t>
        </is>
      </c>
      <c r="Z26" s="95" t="inlineStr">
        <is>
          <t>AI-CTRL-015, AI-CTRL-016, AI-CTRL-027</t>
        </is>
      </c>
      <c r="AA26" s="95" t="inlineStr">
        <is>
          <t>Credential exposure prevention; scoped short-lived tokens; canaries</t>
        </is>
      </c>
      <c r="AB26" s="95" t="inlineStr">
        <is>
          <t>Runtime configuration review; canary alert tests; credential issuance logs</t>
        </is>
      </c>
      <c r="AC26" s="95" t="inlineStr">
        <is>
          <t>A.4.4; A.4.5; A.6.2.5; A.9.2</t>
        </is>
      </c>
      <c r="AD26" s="95" t="inlineStr">
        <is>
          <t>A.5.15; A.5.16; A.5.17; A.5.18; A.8.1; A.8.2; A.8.3; A.8.4; A.8.5; A.8.12; A.8.22; A.8.27; A.8.28; A.8.31</t>
        </is>
      </c>
      <c r="AE26" s="95" t="inlineStr">
        <is>
          <t>GOVERN 6.1; MANAGE 1.3; MANAGE 4.1; MEASURE 2.7; MEASURE 2.8; MEASURE 2.10</t>
        </is>
      </c>
      <c r="AF26" s="95" t="inlineStr">
        <is>
          <t>ASI03; ASI05; ASI07; LLM02:2025; LLM03:2025; LLM06:2025</t>
        </is>
      </c>
      <c r="AG26" s="95" t="inlineStr">
        <is>
          <t>AML.T0012; AML.T0050; AML.T0055; AML.T0057; AML.T0073; AML.T0083; AML.T0091; AML.T0098; AML.T0102; AML.T0105</t>
        </is>
      </c>
      <c r="AH26" s="95" t="inlineStr">
        <is>
          <t>AIR-SEC-029</t>
        </is>
      </c>
      <c r="AI26" s="95" t="inlineStr">
        <is>
          <t>PR.AA; PR.DS; PR.IR; PR.PS</t>
        </is>
      </c>
      <c r="AJ26" s="96" t="inlineStr">
        <is>
          <t>CIS 3; CIS 4; CIS 5; CIS 6; CIS 12; CIS 16</t>
        </is>
      </c>
      <c r="AK26" s="95" t="inlineStr">
        <is>
          <t>CC6.1; CC6.2; CC6.3; CC6.6; CC6.7; CC6.8; CC8.1</t>
        </is>
      </c>
      <c r="AL26" s="95" t="inlineStr">
        <is>
          <t>None</t>
        </is>
      </c>
      <c r="AM26" s="95" t="inlineStr">
        <is>
          <t>05 AI access and identity; 12 Tool access and authorization</t>
        </is>
      </c>
      <c r="AN26" s="95" t="inlineStr">
        <is>
          <t>MCP01:2025</t>
        </is>
      </c>
      <c r="AO26" s="95" t="inlineStr">
        <is>
          <t>None</t>
        </is>
      </c>
      <c r="AP26" s="95" t="inlineStr">
        <is>
          <t>Singapore: SG5, MAS 5.16</t>
        </is>
      </c>
      <c r="AQ26" s="96" t="n">
        <v>95</v>
      </c>
      <c r="AR26" s="96" t="n">
        <v>121</v>
      </c>
      <c r="AS26" s="85" t="n"/>
      <c r="AT26" s="85" t="n"/>
      <c r="AU26" s="21">
        <f>IF(OR(AS26="",AT26=""),"",AS26*AT26)</f>
        <v/>
      </c>
      <c r="AV26" s="21">
        <f>IF(AU26="","",INDEX(Settings!$A$20:$A$23,MATCH(AU26,Settings!$B$20:$B$23,1)))</f>
        <v/>
      </c>
      <c r="AW26" s="21">
        <f>IF(AV26&lt;&gt;"",AV26,T26)</f>
        <v/>
      </c>
      <c r="AX26" s="21">
        <f>IF(AW26="","",IF(MATCH(AW26,Settings!$A$20:$A$23,0)&lt;=MATCH(Settings!$C$28,Settings!$A$20:$A$23,0),"Yes","No"))</f>
        <v/>
      </c>
      <c r="AY26" s="81">
        <f>IF(AW26="","",IF(AX26="Yes",INDEX(Settings!$G$20:$G$23,MATCH(AW26,Settings!$A$20:$A$23,0)),INDEX(Settings!$G$20:$G$23,MATCH(AW26,Settings!$A$20:$A$23,0))&amp;" (outside appetite)"))</f>
        <v/>
      </c>
      <c r="AZ26" s="82" t="n"/>
      <c r="BA26" s="82" t="n"/>
      <c r="BB26" s="89" t="n"/>
      <c r="BC26" s="90">
        <f>IF(OR(BB26="",T26=""),"",BB26+INDEX(Settings!$E$20:$E$23,MATCH(T26,Settings!$A$20:$A$23,0)))</f>
        <v/>
      </c>
      <c r="BD26" s="89" t="n"/>
      <c r="BE26" s="82" t="n"/>
      <c r="BF26" s="81">
        <f>IF(A26="","",IF(OR(BE26="Closed",BE26="Accepted"),"No action",IF(BB26="","Set date identified",IF(TODAY()&gt;BC26,"Deadline exceeded",IF(BC26-TODAY()&lt;=Settings!$C$30,"Deadline approaching","On track")))))</f>
        <v/>
      </c>
      <c r="BG26" s="89" t="n"/>
      <c r="BH26" s="89" t="n"/>
      <c r="BI26" s="90">
        <f>IF(OR(BH26="",AW26=""),"",EDATE(BH26,INDEX(Settings!$F$20:$F$23,MATCH(AW26,Settings!$A$20:$A$23,0))))</f>
        <v/>
      </c>
      <c r="BJ26" s="21">
        <f>IF(T26="","",IF(MAX(IF(T26="",0,MATCH(T26,Settings!$A$20:$A$23,0)),IF(AV26="",0,MATCH(AV26,Settings!$A$20:$A$23,0)))&gt;=MATCH(Settings!$C$29,Settings!$A$20:$A$23,0),"Yes","No"))</f>
        <v/>
      </c>
      <c r="BK26" s="82" t="n"/>
      <c r="BL26" s="81">
        <f>IF(A26="","",IF(TRIM(IF(W26="","Treatment not chosen. ","")&amp;IF(AND(W26="Accept",AX26="No"),"Accepted outside appetite: record approval by "&amp;INDEX(Settings!$G$20:$G$23,MATCH(AW26,Settings!$A$20:$A$23,0))&amp;". ","")&amp;IF(AND(W26="Accept",BG26=""),"Acceptance expiry missing. ","")&amp;IF(AND(BG26&lt;&gt;"",BG26&lt;TODAY()),"Acceptance expired. ","")&amp;IF(AND(W26&lt;&gt;"",W26&lt;&gt;"Accept",AV26=""),"Target rating not set. ","")&amp;IF(AND(BE26="Closed",AX26="No"),"Closed while outside appetite. ","")&amp;IF(AND(W26="Transfer",BE26&lt;&gt;"Transferred",BE26&lt;&gt;"Closed"),"Transfer: record the contract, SLA and audit rights. ","")&amp;IF(AZ26="","Risk owner missing. ","")&amp;IF(K26="","Scenario not written. ",""))="","OK",TRIM(IF(W26="","Treatment not chosen. ","")&amp;IF(AND(W26="Accept",AX26="No"),"Accepted outside appetite: record approval by "&amp;INDEX(Settings!$G$20:$G$23,MATCH(AW26,Settings!$A$20:$A$23,0))&amp;". ","")&amp;IF(AND(W26="Accept",BG26=""),"Acceptance expiry missing. ","")&amp;IF(AND(BG26&lt;&gt;"",BG26&lt;TODAY()),"Acceptance expired. ","")&amp;IF(AND(W26&lt;&gt;"",W26&lt;&gt;"Accept",AV26=""),"Target rating not set. ","")&amp;IF(AND(BE26="Closed",AX26="No"),"Closed while outside appetite. ","")&amp;IF(AND(W26="Transfer",BE26&lt;&gt;"Transferred",BE26&lt;&gt;"Closed"),"Transfer: record the contract, SLA and audit rights. ","")&amp;IF(AZ26="","Risk owner missing. ","")&amp;IF(K26="","Scenario not written. ",""))))</f>
        <v/>
      </c>
      <c r="BM26" s="82" t="inlineStr">
        <is>
          <t>Wiki example ratings: likelihood Medium, impact Critical, residual High, priority 22.</t>
        </is>
      </c>
    </row>
    <row r="27" ht="105" customHeight="1">
      <c r="A27" s="78" t="inlineStr">
        <is>
          <t>AI-R23</t>
        </is>
      </c>
      <c r="B27" s="79" t="inlineStr">
        <is>
          <t>Skill, Plugin and MCP Server Supply Chain Compromise</t>
        </is>
      </c>
      <c r="C27" s="80" t="inlineStr">
        <is>
          <t>12</t>
        </is>
      </c>
      <c r="D27" s="81">
        <f>IF(C27="","",IFERROR(INDEX(Lists!$O$2:$O$13,MATCH(C27,Lists!$N$2:$N$13,0)),"Check domain code"))</f>
        <v/>
      </c>
      <c r="E27" s="81">
        <f>IF(C27="","",IFERROR(INDEX(Lists!$P$2:$P$13,MATCH(C27,Lists!$N$2:$N$13,0)),""))</f>
        <v/>
      </c>
      <c r="F27" s="80" t="n"/>
      <c r="G27" s="82" t="inlineStr">
        <is>
          <t>Enterprise-wide (all AI use)</t>
        </is>
      </c>
      <c r="H27" s="82" t="n"/>
      <c r="I27" s="82" t="n"/>
      <c r="J27" s="83" t="inlineStr">
        <is>
          <t>Agent skills, plugins and MCP servers run with the agent's authority, and a compromised or malicious one can act as the agent. This narrows AI-R08 to the agent extension surface. Required controls include an allowlist, review before approval, version pinning, integrity checks and removal procedures.</t>
        </is>
      </c>
      <c r="K27" s="82" t="n"/>
      <c r="L27" s="82" t="n"/>
      <c r="M27" s="84" t="inlineStr">
        <is>
          <t>A4</t>
        </is>
      </c>
      <c r="N27" s="21">
        <f>IF(COUNTIF(Triage!$E$6:$E$48,"Yes")+COUNTIF(Triage!$E$6:$E$48,"No")=0,"Not triaged",IF(SUMPRODUCT(COUNTIFS(Triage!$A$6:$A$48,{"A4"},Triage!$E$6:$E$48,"Yes"))&gt;0,"Applies","Not triggered"))</f>
        <v/>
      </c>
      <c r="O27" s="82" t="n"/>
      <c r="P27" s="85" t="n"/>
      <c r="Q27" s="85" t="n">
        <v>2</v>
      </c>
      <c r="R27" s="85" t="n">
        <v>4</v>
      </c>
      <c r="S27" s="21">
        <f>IF(OR(Q27="",R27=""),"",Q27*R27)</f>
        <v/>
      </c>
      <c r="T27" s="21">
        <f>IF(S27="","",INDEX(Settings!$A$20:$A$23,MATCH(S27,Settings!$B$20:$B$23,1)))</f>
        <v/>
      </c>
      <c r="U27" s="82" t="inlineStr">
        <is>
          <t>Qualitative (4 x 4)</t>
        </is>
      </c>
      <c r="V27" s="86" t="n"/>
      <c r="W27" s="85" t="n"/>
      <c r="X27" s="82" t="n"/>
      <c r="Y27" s="87" t="inlineStr">
        <is>
          <t>AI-CTRL-024, AI-CTRL-031</t>
        </is>
      </c>
      <c r="Z27" s="87" t="inlineStr">
        <is>
          <t>AI-CTRL-024</t>
        </is>
      </c>
      <c r="AA27" s="87" t="inlineStr">
        <is>
          <t>Skill, plugin and MCP governance; AI-BOM</t>
        </is>
      </c>
      <c r="AB27" s="87" t="inlineStr">
        <is>
          <t>Allowlist; review records; pinning configuration</t>
        </is>
      </c>
      <c r="AC27" s="87" t="inlineStr">
        <is>
          <t>A.4.2; A.4.4; A.6.2.7; A.7.5; A.10.3</t>
        </is>
      </c>
      <c r="AD27" s="87" t="inlineStr">
        <is>
          <t>A.5.9; A.5.19; A.5.21; A.8.8; A.8.9; A.8.18; A.8.19; A.8.30; A.8.32</t>
        </is>
      </c>
      <c r="AE27" s="87" t="inlineStr">
        <is>
          <t>GOVERN 6.1; MANAGE 3.1; MANAGE 3.2; MAP 4.1; MAP 4.2</t>
        </is>
      </c>
      <c r="AF27" s="87" t="inlineStr">
        <is>
          <t>ASI02; ASI04; LLM03:2025</t>
        </is>
      </c>
      <c r="AG27" s="87" t="inlineStr">
        <is>
          <t>AML.T0010; AML.T0099; AML.T0109; AML.T0110; AML.T0111; AML.T0115</t>
        </is>
      </c>
      <c r="AH27" s="87" t="inlineStr">
        <is>
          <t>AIR-SEC-030; AIR-SEC-026</t>
        </is>
      </c>
      <c r="AI27" s="87" t="inlineStr">
        <is>
          <t>GV.SC; ID.AM; ID.RA; PR.PS</t>
        </is>
      </c>
      <c r="AJ27" s="88" t="inlineStr">
        <is>
          <t>CIS 2; CIS 7; CIS 15; CIS 16</t>
        </is>
      </c>
      <c r="AK27" s="87" t="inlineStr">
        <is>
          <t>CC6.8; CC7.1; CC8.1; CC9.2</t>
        </is>
      </c>
      <c r="AL27" s="87" t="inlineStr">
        <is>
          <t>Value Chain and Component Integration</t>
        </is>
      </c>
      <c r="AM27" s="87" t="inlineStr">
        <is>
          <t>05 Supply-chain and artifact integrity; 12 Tool access and authorization</t>
        </is>
      </c>
      <c r="AN27" s="87" t="inlineStr">
        <is>
          <t>MCP02:2025; MCP03:2025; MCP04:2025; MCP05:2025; MCP09:2025</t>
        </is>
      </c>
      <c r="AO27" s="87" t="inlineStr">
        <is>
          <t>None</t>
        </is>
      </c>
      <c r="AP27" s="87" t="inlineStr">
        <is>
          <t>Singapore: SG5, MAS 5.10 to 5.11, MAS 5.16</t>
        </is>
      </c>
      <c r="AQ27" s="88" t="n">
        <v>82</v>
      </c>
      <c r="AR27" s="88" t="n">
        <v>40</v>
      </c>
      <c r="AS27" s="85" t="n"/>
      <c r="AT27" s="85" t="n"/>
      <c r="AU27" s="21">
        <f>IF(OR(AS27="",AT27=""),"",AS27*AT27)</f>
        <v/>
      </c>
      <c r="AV27" s="21">
        <f>IF(AU27="","",INDEX(Settings!$A$20:$A$23,MATCH(AU27,Settings!$B$20:$B$23,1)))</f>
        <v/>
      </c>
      <c r="AW27" s="21">
        <f>IF(AV27&lt;&gt;"",AV27,T27)</f>
        <v/>
      </c>
      <c r="AX27" s="21">
        <f>IF(AW27="","",IF(MATCH(AW27,Settings!$A$20:$A$23,0)&lt;=MATCH(Settings!$C$28,Settings!$A$20:$A$23,0),"Yes","No"))</f>
        <v/>
      </c>
      <c r="AY27" s="81">
        <f>IF(AW27="","",IF(AX27="Yes",INDEX(Settings!$G$20:$G$23,MATCH(AW27,Settings!$A$20:$A$23,0)),INDEX(Settings!$G$20:$G$23,MATCH(AW27,Settings!$A$20:$A$23,0))&amp;" (outside appetite)"))</f>
        <v/>
      </c>
      <c r="AZ27" s="82" t="n"/>
      <c r="BA27" s="82" t="n"/>
      <c r="BB27" s="89" t="n"/>
      <c r="BC27" s="90">
        <f>IF(OR(BB27="",T27=""),"",BB27+INDEX(Settings!$E$20:$E$23,MATCH(T27,Settings!$A$20:$A$23,0)))</f>
        <v/>
      </c>
      <c r="BD27" s="89" t="n"/>
      <c r="BE27" s="82" t="n"/>
      <c r="BF27" s="81">
        <f>IF(A27="","",IF(OR(BE27="Closed",BE27="Accepted"),"No action",IF(BB27="","Set date identified",IF(TODAY()&gt;BC27,"Deadline exceeded",IF(BC27-TODAY()&lt;=Settings!$C$30,"Deadline approaching","On track")))))</f>
        <v/>
      </c>
      <c r="BG27" s="89" t="n"/>
      <c r="BH27" s="89" t="n"/>
      <c r="BI27" s="90">
        <f>IF(OR(BH27="",AW27=""),"",EDATE(BH27,INDEX(Settings!$F$20:$F$23,MATCH(AW27,Settings!$A$20:$A$23,0))))</f>
        <v/>
      </c>
      <c r="BJ27" s="21">
        <f>IF(T27="","",IF(MAX(IF(T27="",0,MATCH(T27,Settings!$A$20:$A$23,0)),IF(AV27="",0,MATCH(AV27,Settings!$A$20:$A$23,0)))&gt;=MATCH(Settings!$C$29,Settings!$A$20:$A$23,0),"Yes","No"))</f>
        <v/>
      </c>
      <c r="BK27" s="82" t="n"/>
      <c r="BL27" s="81">
        <f>IF(A27="","",IF(TRIM(IF(W27="","Treatment not chosen. ","")&amp;IF(AND(W27="Accept",AX27="No"),"Accepted outside appetite: record approval by "&amp;INDEX(Settings!$G$20:$G$23,MATCH(AW27,Settings!$A$20:$A$23,0))&amp;". ","")&amp;IF(AND(W27="Accept",BG27=""),"Acceptance expiry missing. ","")&amp;IF(AND(BG27&lt;&gt;"",BG27&lt;TODAY()),"Acceptance expired. ","")&amp;IF(AND(W27&lt;&gt;"",W27&lt;&gt;"Accept",AV27=""),"Target rating not set. ","")&amp;IF(AND(BE27="Closed",AX27="No"),"Closed while outside appetite. ","")&amp;IF(AND(W27="Transfer",BE27&lt;&gt;"Transferred",BE27&lt;&gt;"Closed"),"Transfer: record the contract, SLA and audit rights. ","")&amp;IF(AZ27="","Risk owner missing. ","")&amp;IF(K27="","Scenario not written. ",""))="","OK",TRIM(IF(W27="","Treatment not chosen. ","")&amp;IF(AND(W27="Accept",AX27="No"),"Accepted outside appetite: record approval by "&amp;INDEX(Settings!$G$20:$G$23,MATCH(AW27,Settings!$A$20:$A$23,0))&amp;". ","")&amp;IF(AND(W27="Accept",BG27=""),"Acceptance expiry missing. ","")&amp;IF(AND(BG27&lt;&gt;"",BG27&lt;TODAY()),"Acceptance expired. ","")&amp;IF(AND(W27&lt;&gt;"",W27&lt;&gt;"Accept",AV27=""),"Target rating not set. ","")&amp;IF(AND(BE27="Closed",AX27="No"),"Closed while outside appetite. ","")&amp;IF(AND(W27="Transfer",BE27&lt;&gt;"Transferred",BE27&lt;&gt;"Closed"),"Transfer: record the contract, SLA and audit rights. ","")&amp;IF(AZ27="","Risk owner missing. ","")&amp;IF(K27="","Scenario not written. ",""))))</f>
        <v/>
      </c>
      <c r="BM27" s="82" t="inlineStr">
        <is>
          <t>Wiki example ratings: likelihood Medium, impact Critical, residual High, priority 23.</t>
        </is>
      </c>
    </row>
    <row r="28" ht="105" customHeight="1">
      <c r="A28" s="91" t="inlineStr">
        <is>
          <t>AI-R24</t>
        </is>
      </c>
      <c r="B28" s="92" t="inlineStr">
        <is>
          <t>Tool Chain Manipulation and Injection</t>
        </is>
      </c>
      <c r="C28" s="80" t="inlineStr">
        <is>
          <t>12</t>
        </is>
      </c>
      <c r="D28" s="81">
        <f>IF(C28="","",IFERROR(INDEX(Lists!$O$2:$O$13,MATCH(C28,Lists!$N$2:$N$13,0)),"Check domain code"))</f>
        <v/>
      </c>
      <c r="E28" s="81">
        <f>IF(C28="","",IFERROR(INDEX(Lists!$P$2:$P$13,MATCH(C28,Lists!$N$2:$N$13,0)),""))</f>
        <v/>
      </c>
      <c r="F28" s="80" t="n"/>
      <c r="G28" s="82" t="inlineStr">
        <is>
          <t>Enterprise-wide (all AI use)</t>
        </is>
      </c>
      <c r="H28" s="82" t="n"/>
      <c r="I28" s="82" t="n"/>
      <c r="J28" s="93" t="inlineStr">
        <is>
          <t>An attacker can steer an agent through a sequence of individually permitted tool calls, or inject instructions through tool inputs and outputs, so the combined effect is one nobody authorised. Required controls include deterministic checks on call sequences, validation of tool inputs and outputs and runtime inspection.</t>
        </is>
      </c>
      <c r="K28" s="82" t="n"/>
      <c r="L28" s="82" t="n"/>
      <c r="M28" s="94" t="inlineStr">
        <is>
          <t>A1; A6</t>
        </is>
      </c>
      <c r="N28" s="21">
        <f>IF(COUNTIF(Triage!$E$6:$E$48,"Yes")+COUNTIF(Triage!$E$6:$E$48,"No")=0,"Not triaged",IF(SUMPRODUCT(COUNTIFS(Triage!$A$6:$A$48,{"A1","A6"},Triage!$E$6:$E$48,"Yes"))&gt;0,"Applies","Not triggered"))</f>
        <v/>
      </c>
      <c r="O28" s="82" t="n"/>
      <c r="P28" s="85" t="n"/>
      <c r="Q28" s="85" t="n">
        <v>2</v>
      </c>
      <c r="R28" s="85" t="n">
        <v>4</v>
      </c>
      <c r="S28" s="21">
        <f>IF(OR(Q28="",R28=""),"",Q28*R28)</f>
        <v/>
      </c>
      <c r="T28" s="21">
        <f>IF(S28="","",INDEX(Settings!$A$20:$A$23,MATCH(S28,Settings!$B$20:$B$23,1)))</f>
        <v/>
      </c>
      <c r="U28" s="82" t="inlineStr">
        <is>
          <t>Qualitative (4 x 4)</t>
        </is>
      </c>
      <c r="V28" s="86" t="n"/>
      <c r="W28" s="85" t="n"/>
      <c r="X28" s="82" t="n"/>
      <c r="Y28" s="95" t="inlineStr">
        <is>
          <t>AI-CTRL-005, AI-CTRL-020, AI-CTRL-022, AI-CTRL-024</t>
        </is>
      </c>
      <c r="Z28" s="95" t="inlineStr">
        <is>
          <t>AI-CTRL-005, AI-CTRL-020, AI-CTRL-022, AI-CTRL-024</t>
        </is>
      </c>
      <c r="AA28" s="95" t="inlineStr">
        <is>
          <t>Sequence authorisation; tool I/O validation; runtime inspection</t>
        </is>
      </c>
      <c r="AB28" s="95" t="inlineStr">
        <is>
          <t>Tool permission matrix with sequence rules; multi-step test results</t>
        </is>
      </c>
      <c r="AC28" s="95" t="inlineStr">
        <is>
          <t>A.4.4; A.6.2.2; A.6.2.4; A.6.2.6; A.10.3</t>
        </is>
      </c>
      <c r="AD28" s="95" t="inlineStr">
        <is>
          <t>A.5.3; A.5.15; A.5.19; A.5.21; A.8.3; A.8.9; A.8.16; A.8.18; A.8.19; A.8.26; A.8.27; A.8.28; A.8.32</t>
        </is>
      </c>
      <c r="AE28" s="95" t="inlineStr">
        <is>
          <t>GOVERN 6.1; MANAGE 1.3; MANAGE 3.1; MAP 4.1; MAP 4.2; MEASURE 2.7; MEASURE 2.10</t>
        </is>
      </c>
      <c r="AF28" s="95" t="inlineStr">
        <is>
          <t>ASI01; ASI02; ASI04; LLM01:2025; LLM02:2025; LLM03:2025; LLM05:2025; LLM06:2025; LLM07:2025</t>
        </is>
      </c>
      <c r="AG28" s="95" t="inlineStr">
        <is>
          <t>AML.T0010; AML.T0051; AML.T0053; AML.T0054; AML.T0056; AML.T0057; AML.T0067; AML.T0068; AML.T0077; AML.T0086; AML.T0093; AML.T0099; AML.T0101; AML.T0109; AML.T0110</t>
        </is>
      </c>
      <c r="AH28" s="95" t="inlineStr">
        <is>
          <t>AIR-SEC-025</t>
        </is>
      </c>
      <c r="AI28" s="95" t="inlineStr">
        <is>
          <t>DE.CM; GV.SC; PR.AA; PR.DS; PR.PS</t>
        </is>
      </c>
      <c r="AJ28" s="96" t="inlineStr">
        <is>
          <t>CIS 2; CIS 6; CIS 13; CIS 15; CIS 16</t>
        </is>
      </c>
      <c r="AK28" s="95" t="inlineStr">
        <is>
          <t>CC6.1; CC6.3; CC6.6; CC6.8; CC7.2; CC8.1; CC9.2; PI1.4</t>
        </is>
      </c>
      <c r="AL28" s="95" t="inlineStr">
        <is>
          <t>Information Security</t>
        </is>
      </c>
      <c r="AM28" s="95" t="inlineStr">
        <is>
          <t>05 Output and integration security</t>
        </is>
      </c>
      <c r="AN28" s="95" t="inlineStr">
        <is>
          <t>MCP03:2025; MCP05:2025; MCP06:2025</t>
        </is>
      </c>
      <c r="AO28" s="95" t="inlineStr">
        <is>
          <t>OECD AI Principles: Principle 1.4; EU Ethics Guidelines: Technical robustness and safety; UNESCO Recommendation: Safety and security</t>
        </is>
      </c>
      <c r="AP28" s="95" t="inlineStr">
        <is>
          <t>GCC: U2, U11, S6, S7; EU: E5, E7, E17; UK: UK10; US: US3; Australia: AU8; China: CN7; India: IN8, IN10, IN11; Singapore: SG2, SG5, SG7, SG8, MAS 5.16; South: KR4</t>
        </is>
      </c>
      <c r="AQ28" s="96" t="n">
        <v>130</v>
      </c>
      <c r="AR28" s="96" t="n">
        <v>95</v>
      </c>
      <c r="AS28" s="85" t="n"/>
      <c r="AT28" s="85" t="n"/>
      <c r="AU28" s="21">
        <f>IF(OR(AS28="",AT28=""),"",AS28*AT28)</f>
        <v/>
      </c>
      <c r="AV28" s="21">
        <f>IF(AU28="","",INDEX(Settings!$A$20:$A$23,MATCH(AU28,Settings!$B$20:$B$23,1)))</f>
        <v/>
      </c>
      <c r="AW28" s="21">
        <f>IF(AV28&lt;&gt;"",AV28,T28)</f>
        <v/>
      </c>
      <c r="AX28" s="21">
        <f>IF(AW28="","",IF(MATCH(AW28,Settings!$A$20:$A$23,0)&lt;=MATCH(Settings!$C$28,Settings!$A$20:$A$23,0),"Yes","No"))</f>
        <v/>
      </c>
      <c r="AY28" s="81">
        <f>IF(AW28="","",IF(AX28="Yes",INDEX(Settings!$G$20:$G$23,MATCH(AW28,Settings!$A$20:$A$23,0)),INDEX(Settings!$G$20:$G$23,MATCH(AW28,Settings!$A$20:$A$23,0))&amp;" (outside appetite)"))</f>
        <v/>
      </c>
      <c r="AZ28" s="82" t="n"/>
      <c r="BA28" s="82" t="n"/>
      <c r="BB28" s="89" t="n"/>
      <c r="BC28" s="90">
        <f>IF(OR(BB28="",T28=""),"",BB28+INDEX(Settings!$E$20:$E$23,MATCH(T28,Settings!$A$20:$A$23,0)))</f>
        <v/>
      </c>
      <c r="BD28" s="89" t="n"/>
      <c r="BE28" s="82" t="n"/>
      <c r="BF28" s="81">
        <f>IF(A28="","",IF(OR(BE28="Closed",BE28="Accepted"),"No action",IF(BB28="","Set date identified",IF(TODAY()&gt;BC28,"Deadline exceeded",IF(BC28-TODAY()&lt;=Settings!$C$30,"Deadline approaching","On track")))))</f>
        <v/>
      </c>
      <c r="BG28" s="89" t="n"/>
      <c r="BH28" s="89" t="n"/>
      <c r="BI28" s="90">
        <f>IF(OR(BH28="",AW28=""),"",EDATE(BH28,INDEX(Settings!$F$20:$F$23,MATCH(AW28,Settings!$A$20:$A$23,0))))</f>
        <v/>
      </c>
      <c r="BJ28" s="21">
        <f>IF(T28="","",IF(MAX(IF(T28="",0,MATCH(T28,Settings!$A$20:$A$23,0)),IF(AV28="",0,MATCH(AV28,Settings!$A$20:$A$23,0)))&gt;=MATCH(Settings!$C$29,Settings!$A$20:$A$23,0),"Yes","No"))</f>
        <v/>
      </c>
      <c r="BK28" s="82" t="n"/>
      <c r="BL28" s="81">
        <f>IF(A28="","",IF(TRIM(IF(W28="","Treatment not chosen. ","")&amp;IF(AND(W28="Accept",AX28="No"),"Accepted outside appetite: record approval by "&amp;INDEX(Settings!$G$20:$G$23,MATCH(AW28,Settings!$A$20:$A$23,0))&amp;". ","")&amp;IF(AND(W28="Accept",BG28=""),"Acceptance expiry missing. ","")&amp;IF(AND(BG28&lt;&gt;"",BG28&lt;TODAY()),"Acceptance expired. ","")&amp;IF(AND(W28&lt;&gt;"",W28&lt;&gt;"Accept",AV28=""),"Target rating not set. ","")&amp;IF(AND(BE28="Closed",AX28="No"),"Closed while outside appetite. ","")&amp;IF(AND(W28="Transfer",BE28&lt;&gt;"Transferred",BE28&lt;&gt;"Closed"),"Transfer: record the contract, SLA and audit rights. ","")&amp;IF(AZ28="","Risk owner missing. ","")&amp;IF(K28="","Scenario not written. ",""))="","OK",TRIM(IF(W28="","Treatment not chosen. ","")&amp;IF(AND(W28="Accept",AX28="No"),"Accepted outside appetite: record approval by "&amp;INDEX(Settings!$G$20:$G$23,MATCH(AW28,Settings!$A$20:$A$23,0))&amp;". ","")&amp;IF(AND(W28="Accept",BG28=""),"Acceptance expiry missing. ","")&amp;IF(AND(BG28&lt;&gt;"",BG28&lt;TODAY()),"Acceptance expired. ","")&amp;IF(AND(W28&lt;&gt;"",W28&lt;&gt;"Accept",AV28=""),"Target rating not set. ","")&amp;IF(AND(BE28="Closed",AX28="No"),"Closed while outside appetite. ","")&amp;IF(AND(W28="Transfer",BE28&lt;&gt;"Transferred",BE28&lt;&gt;"Closed"),"Transfer: record the contract, SLA and audit rights. ","")&amp;IF(AZ28="","Risk owner missing. ","")&amp;IF(K28="","Scenario not written. ",""))))</f>
        <v/>
      </c>
      <c r="BM28" s="82" t="inlineStr">
        <is>
          <t>Wiki example ratings: likelihood Medium, impact Critical, residual High, priority 24.</t>
        </is>
      </c>
    </row>
    <row r="29" ht="105" customHeight="1">
      <c r="A29" s="78" t="inlineStr">
        <is>
          <t>AI-R25</t>
        </is>
      </c>
      <c r="B29" s="79" t="inlineStr">
        <is>
          <t>Multi-Agent Trust Boundary Violation</t>
        </is>
      </c>
      <c r="C29" s="80" t="inlineStr">
        <is>
          <t>12</t>
        </is>
      </c>
      <c r="D29" s="81">
        <f>IF(C29="","",IFERROR(INDEX(Lists!$O$2:$O$13,MATCH(C29,Lists!$N$2:$N$13,0)),"Check domain code"))</f>
        <v/>
      </c>
      <c r="E29" s="81">
        <f>IF(C29="","",IFERROR(INDEX(Lists!$P$2:$P$13,MATCH(C29,Lists!$N$2:$N$13,0)),""))</f>
        <v/>
      </c>
      <c r="F29" s="80" t="n"/>
      <c r="G29" s="82" t="inlineStr">
        <is>
          <t>Enterprise-wide (all AI use)</t>
        </is>
      </c>
      <c r="H29" s="82" t="n"/>
      <c r="I29" s="82" t="n"/>
      <c r="J29" s="83" t="inlineStr">
        <is>
          <t>Agents that call or delegate to other agents can pass on instructions, data or authority across boundaries nobody intended, so one compromised agent affects the rest. Required controls include an agent trust map, identity for every agent, containment and isolation between agents and logging of inter-agent requests.</t>
        </is>
      </c>
      <c r="K29" s="82" t="n"/>
      <c r="L29" s="82" t="n"/>
      <c r="M29" s="84" t="inlineStr">
        <is>
          <t>A4</t>
        </is>
      </c>
      <c r="N29" s="21">
        <f>IF(COUNTIF(Triage!$E$6:$E$48,"Yes")+COUNTIF(Triage!$E$6:$E$48,"No")=0,"Not triaged",IF(SUMPRODUCT(COUNTIFS(Triage!$A$6:$A$48,{"A4"},Triage!$E$6:$E$48,"Yes"))&gt;0,"Applies","Not triggered"))</f>
        <v/>
      </c>
      <c r="O29" s="82" t="n"/>
      <c r="P29" s="85" t="n"/>
      <c r="Q29" s="85" t="n">
        <v>2</v>
      </c>
      <c r="R29" s="85" t="n">
        <v>3</v>
      </c>
      <c r="S29" s="21">
        <f>IF(OR(Q29="",R29=""),"",Q29*R29)</f>
        <v/>
      </c>
      <c r="T29" s="21">
        <f>IF(S29="","",INDEX(Settings!$A$20:$A$23,MATCH(S29,Settings!$B$20:$B$23,1)))</f>
        <v/>
      </c>
      <c r="U29" s="82" t="inlineStr">
        <is>
          <t>Qualitative (4 x 4)</t>
        </is>
      </c>
      <c r="V29" s="86" t="n"/>
      <c r="W29" s="85" t="n"/>
      <c r="X29" s="82" t="n"/>
      <c r="Y29" s="87" t="inlineStr">
        <is>
          <t>AI-CTRL-006, AI-CTRL-015, AI-CTRL-025, AI-CTRL-027</t>
        </is>
      </c>
      <c r="Z29" s="87" t="inlineStr">
        <is>
          <t>AI-CTRL-006, AI-CTRL-015, AI-CTRL-025, AI-CTRL-027</t>
        </is>
      </c>
      <c r="AA29" s="87" t="inlineStr">
        <is>
          <t>Agent trust map; identity; containment; isolation</t>
        </is>
      </c>
      <c r="AB29" s="87" t="inlineStr">
        <is>
          <t>Agent trust map; inter-agent request logs</t>
        </is>
      </c>
      <c r="AC29" s="87" t="inlineStr">
        <is>
          <t>A.4.2; A.4.5; A.6.2.5; A.6.2.6</t>
        </is>
      </c>
      <c r="AD29" s="87" t="inlineStr">
        <is>
          <t>A.5.15; A.5.16; A.5.17; A.5.18; A.5.26; A.8.5; A.8.15; A.8.16; A.8.22; A.8.27; A.8.31</t>
        </is>
      </c>
      <c r="AE29" s="87" t="inlineStr">
        <is>
          <t>GOVERN 1.6; MANAGE 1.3; MANAGE 2.3; MANAGE 2.4; MEASURE 2.4; MEASURE 2.7; MEASURE 2.8</t>
        </is>
      </c>
      <c r="AF29" s="87" t="inlineStr">
        <is>
          <t>ASI03; ASI05; ASI07; ASI08; ASI10; LLM06:2025</t>
        </is>
      </c>
      <c r="AG29" s="87" t="inlineStr">
        <is>
          <t>AML.T0012; AML.T0034; AML.T0050; AML.T0053; AML.T0073; AML.T0081; AML.T0091; AML.T0102; AML.T0105</t>
        </is>
      </c>
      <c r="AH29" s="87" t="inlineStr">
        <is>
          <t>AIR-OP-028</t>
        </is>
      </c>
      <c r="AI29" s="87" t="inlineStr">
        <is>
          <t>DE.CM; PR.AA; PR.IR; PR.PS; RS.MA; RS.MI</t>
        </is>
      </c>
      <c r="AJ29" s="88" t="inlineStr">
        <is>
          <t>CIS 4; CIS 5; CIS 6; CIS 8; CIS 12; CIS 16; CIS 17</t>
        </is>
      </c>
      <c r="AK29" s="87" t="inlineStr">
        <is>
          <t>CC6.1; CC6.2; CC6.6; CC6.8; CC7.2; CC7.4</t>
        </is>
      </c>
      <c r="AL29" s="87" t="inlineStr">
        <is>
          <t>None</t>
        </is>
      </c>
      <c r="AM29" s="87" t="inlineStr">
        <is>
          <t>12 Multi-agent orchestration</t>
        </is>
      </c>
      <c r="AN29" s="87" t="inlineStr">
        <is>
          <t>None</t>
        </is>
      </c>
      <c r="AO29" s="87" t="inlineStr">
        <is>
          <t>OECD AI Principles: Principle 1.4; EU Ethics Guidelines: Human agency and oversight</t>
        </is>
      </c>
      <c r="AP29" s="87" t="inlineStr">
        <is>
          <t>GCC: U9; India: IN6, IN13; Singapore: SG2, SG5, SG7, MAS 4.5 to 4.9, MAS 5.3</t>
        </is>
      </c>
      <c r="AQ29" s="88" t="n">
        <v>101</v>
      </c>
      <c r="AR29" s="88" t="n">
        <v>80</v>
      </c>
      <c r="AS29" s="85" t="n"/>
      <c r="AT29" s="85" t="n"/>
      <c r="AU29" s="21">
        <f>IF(OR(AS29="",AT29=""),"",AS29*AT29)</f>
        <v/>
      </c>
      <c r="AV29" s="21">
        <f>IF(AU29="","",INDEX(Settings!$A$20:$A$23,MATCH(AU29,Settings!$B$20:$B$23,1)))</f>
        <v/>
      </c>
      <c r="AW29" s="21">
        <f>IF(AV29&lt;&gt;"",AV29,T29)</f>
        <v/>
      </c>
      <c r="AX29" s="21">
        <f>IF(AW29="","",IF(MATCH(AW29,Settings!$A$20:$A$23,0)&lt;=MATCH(Settings!$C$28,Settings!$A$20:$A$23,0),"Yes","No"))</f>
        <v/>
      </c>
      <c r="AY29" s="81">
        <f>IF(AW29="","",IF(AX29="Yes",INDEX(Settings!$G$20:$G$23,MATCH(AW29,Settings!$A$20:$A$23,0)),INDEX(Settings!$G$20:$G$23,MATCH(AW29,Settings!$A$20:$A$23,0))&amp;" (outside appetite)"))</f>
        <v/>
      </c>
      <c r="AZ29" s="82" t="n"/>
      <c r="BA29" s="82" t="n"/>
      <c r="BB29" s="89" t="n"/>
      <c r="BC29" s="90">
        <f>IF(OR(BB29="",T29=""),"",BB29+INDEX(Settings!$E$20:$E$23,MATCH(T29,Settings!$A$20:$A$23,0)))</f>
        <v/>
      </c>
      <c r="BD29" s="89" t="n"/>
      <c r="BE29" s="82" t="n"/>
      <c r="BF29" s="81">
        <f>IF(A29="","",IF(OR(BE29="Closed",BE29="Accepted"),"No action",IF(BB29="","Set date identified",IF(TODAY()&gt;BC29,"Deadline exceeded",IF(BC29-TODAY()&lt;=Settings!$C$30,"Deadline approaching","On track")))))</f>
        <v/>
      </c>
      <c r="BG29" s="89" t="n"/>
      <c r="BH29" s="89" t="n"/>
      <c r="BI29" s="90">
        <f>IF(OR(BH29="",AW29=""),"",EDATE(BH29,INDEX(Settings!$F$20:$F$23,MATCH(AW29,Settings!$A$20:$A$23,0))))</f>
        <v/>
      </c>
      <c r="BJ29" s="21">
        <f>IF(T29="","",IF(MAX(IF(T29="",0,MATCH(T29,Settings!$A$20:$A$23,0)),IF(AV29="",0,MATCH(AV29,Settings!$A$20:$A$23,0)))&gt;=MATCH(Settings!$C$29,Settings!$A$20:$A$23,0),"Yes","No"))</f>
        <v/>
      </c>
      <c r="BK29" s="82" t="n"/>
      <c r="BL29" s="81">
        <f>IF(A29="","",IF(TRIM(IF(W29="","Treatment not chosen. ","")&amp;IF(AND(W29="Accept",AX29="No"),"Accepted outside appetite: record approval by "&amp;INDEX(Settings!$G$20:$G$23,MATCH(AW29,Settings!$A$20:$A$23,0))&amp;". ","")&amp;IF(AND(W29="Accept",BG29=""),"Acceptance expiry missing. ","")&amp;IF(AND(BG29&lt;&gt;"",BG29&lt;TODAY()),"Acceptance expired. ","")&amp;IF(AND(W29&lt;&gt;"",W29&lt;&gt;"Accept",AV29=""),"Target rating not set. ","")&amp;IF(AND(BE29="Closed",AX29="No"),"Closed while outside appetite. ","")&amp;IF(AND(W29="Transfer",BE29&lt;&gt;"Transferred",BE29&lt;&gt;"Closed"),"Transfer: record the contract, SLA and audit rights. ","")&amp;IF(AZ29="","Risk owner missing. ","")&amp;IF(K29="","Scenario not written. ",""))="","OK",TRIM(IF(W29="","Treatment not chosen. ","")&amp;IF(AND(W29="Accept",AX29="No"),"Accepted outside appetite: record approval by "&amp;INDEX(Settings!$G$20:$G$23,MATCH(AW29,Settings!$A$20:$A$23,0))&amp;". ","")&amp;IF(AND(W29="Accept",BG29=""),"Acceptance expiry missing. ","")&amp;IF(AND(BG29&lt;&gt;"",BG29&lt;TODAY()),"Acceptance expired. ","")&amp;IF(AND(W29&lt;&gt;"",W29&lt;&gt;"Accept",AV29=""),"Target rating not set. ","")&amp;IF(AND(BE29="Closed",AX29="No"),"Closed while outside appetite. ","")&amp;IF(AND(W29="Transfer",BE29&lt;&gt;"Transferred",BE29&lt;&gt;"Closed"),"Transfer: record the contract, SLA and audit rights. ","")&amp;IF(AZ29="","Risk owner missing. ","")&amp;IF(K29="","Scenario not written. ",""))))</f>
        <v/>
      </c>
      <c r="BM29" s="82" t="inlineStr">
        <is>
          <t>Wiki example ratings: likelihood Medium, impact High, residual High, priority 25.</t>
        </is>
      </c>
    </row>
    <row r="30" ht="105" customHeight="1">
      <c r="A30" s="91" t="inlineStr">
        <is>
          <t>AI-R26</t>
        </is>
      </c>
      <c r="B30" s="92" t="inlineStr">
        <is>
          <t>Reasoning Trace and Intermediate Output Exposure</t>
        </is>
      </c>
      <c r="C30" s="80" t="inlineStr">
        <is>
          <t>05</t>
        </is>
      </c>
      <c r="D30" s="81">
        <f>IF(C30="","",IFERROR(INDEX(Lists!$O$2:$O$13,MATCH(C30,Lists!$N$2:$N$13,0)),"Check domain code"))</f>
        <v/>
      </c>
      <c r="E30" s="81">
        <f>IF(C30="","",IFERROR(INDEX(Lists!$P$2:$P$13,MATCH(C30,Lists!$N$2:$N$13,0)),""))</f>
        <v/>
      </c>
      <c r="F30" s="80" t="n"/>
      <c r="G30" s="82" t="inlineStr">
        <is>
          <t>Enterprise-wide (all AI use)</t>
        </is>
      </c>
      <c r="H30" s="82" t="n"/>
      <c r="I30" s="82" t="n"/>
      <c r="J30" s="93" t="inlineStr">
        <is>
          <t>Reasoning steps, intermediate tool output and system instructions can expose sensitive data, internal logic or attack paths when they are shown to users or written to logs. Required controls include classifying these traces, deciding what is displayed and retained, and testing for leakage.</t>
        </is>
      </c>
      <c r="K30" s="82" t="n"/>
      <c r="L30" s="82" t="n"/>
      <c r="M30" s="94" t="inlineStr">
        <is>
          <t>D3</t>
        </is>
      </c>
      <c r="N30" s="21">
        <f>IF(COUNTIF(Triage!$E$6:$E$48,"Yes")+COUNTIF(Triage!$E$6:$E$48,"No")=0,"Not triaged",IF(SUMPRODUCT(COUNTIFS(Triage!$A$6:$A$48,{"D3"},Triage!$E$6:$E$48,"Yes"))&gt;0,"Applies","Not triggered"))</f>
        <v/>
      </c>
      <c r="O30" s="82" t="n"/>
      <c r="P30" s="85" t="n"/>
      <c r="Q30" s="85" t="n">
        <v>2</v>
      </c>
      <c r="R30" s="85" t="n">
        <v>2</v>
      </c>
      <c r="S30" s="21">
        <f>IF(OR(Q30="",R30=""),"",Q30*R30)</f>
        <v/>
      </c>
      <c r="T30" s="21">
        <f>IF(S30="","",INDEX(Settings!$A$20:$A$23,MATCH(S30,Settings!$B$20:$B$23,1)))</f>
        <v/>
      </c>
      <c r="U30" s="82" t="inlineStr">
        <is>
          <t>Qualitative (4 x 4)</t>
        </is>
      </c>
      <c r="V30" s="86" t="n"/>
      <c r="W30" s="85" t="n"/>
      <c r="X30" s="82" t="n"/>
      <c r="Y30" s="95" t="inlineStr">
        <is>
          <t>AI-CTRL-008, AI-CTRL-020</t>
        </is>
      </c>
      <c r="Z30" s="95" t="inlineStr">
        <is>
          <t>AI-CTRL-008, AI-CTRL-020</t>
        </is>
      </c>
      <c r="AA30" s="95" t="inlineStr">
        <is>
          <t>Trace classification; display and logging rules; leakage tests</t>
        </is>
      </c>
      <c r="AB30" s="95" t="inlineStr">
        <is>
          <t>Classification decision; display configuration; leakage tests</t>
        </is>
      </c>
      <c r="AC30" s="95" t="inlineStr">
        <is>
          <t>A.6.2.4; A.6.2.6; A.6.2.8</t>
        </is>
      </c>
      <c r="AD30" s="95" t="inlineStr">
        <is>
          <t>A.5.28; A.5.33; A.8.15; A.8.17; A.8.26; A.8.28</t>
        </is>
      </c>
      <c r="AE30" s="95" t="inlineStr">
        <is>
          <t>MANAGE 4.1; MEASURE 2.4; MEASURE 2.7; MEASURE 2.8; MEASURE 2.10</t>
        </is>
      </c>
      <c r="AF30" s="95" t="inlineStr">
        <is>
          <t>LLM02:2025; LLM05:2025</t>
        </is>
      </c>
      <c r="AG30" s="95" t="inlineStr">
        <is>
          <t>AML.T0057; AML.T0067; AML.T0077</t>
        </is>
      </c>
      <c r="AH30" s="95" t="inlineStr">
        <is>
          <t>None seen in the FINOS repository</t>
        </is>
      </c>
      <c r="AI30" s="95" t="inlineStr">
        <is>
          <t>DE.CM; PR.PS</t>
        </is>
      </c>
      <c r="AJ30" s="96" t="inlineStr">
        <is>
          <t>CIS 8; CIS 16</t>
        </is>
      </c>
      <c r="AK30" s="95" t="inlineStr">
        <is>
          <t>CC7.2; PI1.4</t>
        </is>
      </c>
      <c r="AL30" s="95" t="inlineStr">
        <is>
          <t>None</t>
        </is>
      </c>
      <c r="AM30" s="95" t="inlineStr">
        <is>
          <t>05 Inference-time (input) attacks</t>
        </is>
      </c>
      <c r="AN30" s="95" t="inlineStr">
        <is>
          <t>None</t>
        </is>
      </c>
      <c r="AO30" s="95" t="inlineStr">
        <is>
          <t>OECD AI Principles: Principle 1.5; EU Ethics Guidelines: Transparency, Accountability; IEEE 7000-series: IEEE 7001-2021; Council of Europe AI Convention: Art. 9</t>
        </is>
      </c>
      <c r="AP30" s="95" t="inlineStr">
        <is>
          <t>GCC: U11, S6, S7; EU: E1c, E7; UK: UK10; Singapore: SG5, SG7, MAS 5.23</t>
        </is>
      </c>
      <c r="AQ30" s="96" t="n">
        <v>59</v>
      </c>
      <c r="AR30" s="96" t="n">
        <v>37</v>
      </c>
      <c r="AS30" s="85" t="n"/>
      <c r="AT30" s="85" t="n"/>
      <c r="AU30" s="21">
        <f>IF(OR(AS30="",AT30=""),"",AS30*AT30)</f>
        <v/>
      </c>
      <c r="AV30" s="21">
        <f>IF(AU30="","",INDEX(Settings!$A$20:$A$23,MATCH(AU30,Settings!$B$20:$B$23,1)))</f>
        <v/>
      </c>
      <c r="AW30" s="21">
        <f>IF(AV30&lt;&gt;"",AV30,T30)</f>
        <v/>
      </c>
      <c r="AX30" s="21">
        <f>IF(AW30="","",IF(MATCH(AW30,Settings!$A$20:$A$23,0)&lt;=MATCH(Settings!$C$28,Settings!$A$20:$A$23,0),"Yes","No"))</f>
        <v/>
      </c>
      <c r="AY30" s="81">
        <f>IF(AW30="","",IF(AX30="Yes",INDEX(Settings!$G$20:$G$23,MATCH(AW30,Settings!$A$20:$A$23,0)),INDEX(Settings!$G$20:$G$23,MATCH(AW30,Settings!$A$20:$A$23,0))&amp;" (outside appetite)"))</f>
        <v/>
      </c>
      <c r="AZ30" s="82" t="n"/>
      <c r="BA30" s="82" t="n"/>
      <c r="BB30" s="89" t="n"/>
      <c r="BC30" s="90">
        <f>IF(OR(BB30="",T30=""),"",BB30+INDEX(Settings!$E$20:$E$23,MATCH(T30,Settings!$A$20:$A$23,0)))</f>
        <v/>
      </c>
      <c r="BD30" s="89" t="n"/>
      <c r="BE30" s="82" t="n"/>
      <c r="BF30" s="81">
        <f>IF(A30="","",IF(OR(BE30="Closed",BE30="Accepted"),"No action",IF(BB30="","Set date identified",IF(TODAY()&gt;BC30,"Deadline exceeded",IF(BC30-TODAY()&lt;=Settings!$C$30,"Deadline approaching","On track")))))</f>
        <v/>
      </c>
      <c r="BG30" s="89" t="n"/>
      <c r="BH30" s="89" t="n"/>
      <c r="BI30" s="90">
        <f>IF(OR(BH30="",AW30=""),"",EDATE(BH30,INDEX(Settings!$F$20:$F$23,MATCH(AW30,Settings!$A$20:$A$23,0))))</f>
        <v/>
      </c>
      <c r="BJ30" s="21">
        <f>IF(T30="","",IF(MAX(IF(T30="",0,MATCH(T30,Settings!$A$20:$A$23,0)),IF(AV30="",0,MATCH(AV30,Settings!$A$20:$A$23,0)))&gt;=MATCH(Settings!$C$29,Settings!$A$20:$A$23,0),"Yes","No"))</f>
        <v/>
      </c>
      <c r="BK30" s="82" t="n"/>
      <c r="BL30" s="81">
        <f>IF(A30="","",IF(TRIM(IF(W30="","Treatment not chosen. ","")&amp;IF(AND(W30="Accept",AX30="No"),"Accepted outside appetite: record approval by "&amp;INDEX(Settings!$G$20:$G$23,MATCH(AW30,Settings!$A$20:$A$23,0))&amp;". ","")&amp;IF(AND(W30="Accept",BG30=""),"Acceptance expiry missing. ","")&amp;IF(AND(BG30&lt;&gt;"",BG30&lt;TODAY()),"Acceptance expired. ","")&amp;IF(AND(W30&lt;&gt;"",W30&lt;&gt;"Accept",AV30=""),"Target rating not set. ","")&amp;IF(AND(BE30="Closed",AX30="No"),"Closed while outside appetite. ","")&amp;IF(AND(W30="Transfer",BE30&lt;&gt;"Transferred",BE30&lt;&gt;"Closed"),"Transfer: record the contract, SLA and audit rights. ","")&amp;IF(AZ30="","Risk owner missing. ","")&amp;IF(K30="","Scenario not written. ",""))="","OK",TRIM(IF(W30="","Treatment not chosen. ","")&amp;IF(AND(W30="Accept",AX30="No"),"Accepted outside appetite: record approval by "&amp;INDEX(Settings!$G$20:$G$23,MATCH(AW30,Settings!$A$20:$A$23,0))&amp;". ","")&amp;IF(AND(W30="Accept",BG30=""),"Acceptance expiry missing. ","")&amp;IF(AND(BG30&lt;&gt;"",BG30&lt;TODAY()),"Acceptance expired. ","")&amp;IF(AND(W30&lt;&gt;"",W30&lt;&gt;"Accept",AV30=""),"Target rating not set. ","")&amp;IF(AND(BE30="Closed",AX30="No"),"Closed while outside appetite. ","")&amp;IF(AND(W30="Transfer",BE30&lt;&gt;"Transferred",BE30&lt;&gt;"Closed"),"Transfer: record the contract, SLA and audit rights. ","")&amp;IF(AZ30="","Risk owner missing. ","")&amp;IF(K30="","Scenario not written. ",""))))</f>
        <v/>
      </c>
      <c r="BM30" s="82" t="inlineStr">
        <is>
          <t>Wiki example ratings: likelihood Medium, impact Medium, residual Medium, priority 26.</t>
        </is>
      </c>
    </row>
    <row r="31" ht="105" customHeight="1">
      <c r="A31" s="78" t="inlineStr">
        <is>
          <t>AI-R27</t>
        </is>
      </c>
      <c r="B31" s="79" t="inlineStr">
        <is>
          <t>Intellectual Property and Copyright Infringement</t>
        </is>
      </c>
      <c r="C31" s="80" t="inlineStr">
        <is>
          <t>08</t>
        </is>
      </c>
      <c r="D31" s="81">
        <f>IF(C31="","",IFERROR(INDEX(Lists!$O$2:$O$13,MATCH(C31,Lists!$N$2:$N$13,0)),"Check domain code"))</f>
        <v/>
      </c>
      <c r="E31" s="81">
        <f>IF(C31="","",IFERROR(INDEX(Lists!$P$2:$P$13,MATCH(C31,Lists!$N$2:$N$13,0)),""))</f>
        <v/>
      </c>
      <c r="F31" s="80" t="n"/>
      <c r="G31" s="82" t="inlineStr">
        <is>
          <t>Enterprise-wide (all AI use)</t>
        </is>
      </c>
      <c r="H31" s="82" t="n"/>
      <c r="I31" s="82" t="n"/>
      <c r="J31" s="83" t="inlineStr">
        <is>
          <t>Staff may submit third-party copyrighted or licensed material to AI tools, and AI output or training data may infringe the rights of others or carry licence obligations into products and code. Required controls include a usage policy, review of vendor terms for output ownership and indemnity, provenance records for training data and scanning of released output where policy requires.</t>
        </is>
      </c>
      <c r="K31" s="82" t="n"/>
      <c r="L31" s="82" t="n"/>
      <c r="M31" s="84" t="inlineStr">
        <is>
          <t>D4</t>
        </is>
      </c>
      <c r="N31" s="21">
        <f>IF(COUNTIF(Triage!$E$6:$E$48,"Yes")+COUNTIF(Triage!$E$6:$E$48,"No")=0,"Not triaged",IF(SUMPRODUCT(COUNTIFS(Triage!$A$6:$A$48,{"D4"},Triage!$E$6:$E$48,"Yes"))&gt;0,"Applies","Not triggered"))</f>
        <v/>
      </c>
      <c r="O31" s="82" t="n"/>
      <c r="P31" s="85" t="n"/>
      <c r="Q31" s="85" t="n">
        <v>2</v>
      </c>
      <c r="R31" s="85" t="n">
        <v>3</v>
      </c>
      <c r="S31" s="21">
        <f>IF(OR(Q31="",R31=""),"",Q31*R31)</f>
        <v/>
      </c>
      <c r="T31" s="21">
        <f>IF(S31="","",INDEX(Settings!$A$20:$A$23,MATCH(S31,Settings!$B$20:$B$23,1)))</f>
        <v/>
      </c>
      <c r="U31" s="82" t="inlineStr">
        <is>
          <t>Qualitative (4 x 4)</t>
        </is>
      </c>
      <c r="V31" s="86" t="n"/>
      <c r="W31" s="85" t="n"/>
      <c r="X31" s="82" t="n"/>
      <c r="Y31" s="87" t="inlineStr">
        <is>
          <t>AI-CTRL-002, AI-CTRL-003, AI-CTRL-012, AI-CTRL-013, AI-CTRL-046</t>
        </is>
      </c>
      <c r="Z31" s="87" t="inlineStr">
        <is>
          <t>AI-CTRL-002, AI-CTRL-012, AI-CTRL-013</t>
        </is>
      </c>
      <c r="AA31" s="87" t="inlineStr">
        <is>
          <t>IP policy; vendor terms review; provenance; output scanning</t>
        </is>
      </c>
      <c r="AB31" s="87" t="inlineStr">
        <is>
          <t>Policy; vendor terms review; training data provenance; scan results</t>
        </is>
      </c>
      <c r="AC31" s="87" t="inlineStr">
        <is>
          <t>A.2.2; A.2.3; A.2.4; A.3.2; A.5.2; A.5.3; A.5.4; A.7.5; A.9.2; A.10.3</t>
        </is>
      </c>
      <c r="AD31" s="87" t="inlineStr">
        <is>
          <t>A.5.1; A.5.2; A.5.4; A.5.10; A.5.12; A.5.14; A.5.20; A.5.31; A.5.32; A.5.34; A.6.2; A.6.4; A.8.1; A.8.10; A.8.11; A.8.12</t>
        </is>
      </c>
      <c r="AE31" s="87" t="inlineStr">
        <is>
          <t>GOVERN 1.1; GOVERN 1.2; GOVERN 1.4; GOVERN 2.1; GOVERN 2.2; MANAGE 4.1; MAP 4.1; MAP 5.1; MEASURE 2.10</t>
        </is>
      </c>
      <c r="AF31" s="87" t="inlineStr">
        <is>
          <t>LLM02:2025</t>
        </is>
      </c>
      <c r="AG31" s="87" t="inlineStr">
        <is>
          <t>AML.T0057</t>
        </is>
      </c>
      <c r="AH31" s="87" t="inlineStr">
        <is>
          <t>AIR-RC-023</t>
        </is>
      </c>
      <c r="AI31" s="87" t="inlineStr">
        <is>
          <t>DE.CM; GV.OC; GV.PO; GV.RR; PR.DS</t>
        </is>
      </c>
      <c r="AJ31" s="88" t="inlineStr">
        <is>
          <t>CIS 3; CIS 9</t>
        </is>
      </c>
      <c r="AK31" s="87" t="inlineStr">
        <is>
          <t>C1.1; CC1.3; CC2.2; CC5.3; CC6.7; P1.1; P3.1; P4.1; P4.2; P5.1</t>
        </is>
      </c>
      <c r="AL31" s="87" t="inlineStr">
        <is>
          <t>Intellectual Property</t>
        </is>
      </c>
      <c r="AM31" s="87" t="inlineStr">
        <is>
          <t>03 Sourcing and provenance; 03 Training-data rights and IP; 08 IP and liability</t>
        </is>
      </c>
      <c r="AN31" s="87" t="inlineStr">
        <is>
          <t>None</t>
        </is>
      </c>
      <c r="AO31" s="87" t="inlineStr">
        <is>
          <t>OECD AI Principles: Principle 1.2, Principle 1.3, Principle 1.5; EU Ethics Guidelines: Privacy and data governance, Accountability; UNESCO Recommendation: Right to privacy and data protection, Multi-stakeholder and adaptive governance ..., Responsibility and accountability; IEEE 7000-series: IEEE 7002-2022; Council of Europe AI Convention: Art. 9, Art. 11; G7 Hiroshima Code: Action 5, Action 11</t>
        </is>
      </c>
      <c r="AP31" s="87" t="inlineStr">
        <is>
          <t>GCC: U1, U3, U4, U5, U6, U7, U12, S1, S2, S3, Q1, Q3, B1, B2, O2; EU: E1a, E1b, E1c, E2, E3, E4, E12, E17; UK: UK1, UK2, UK3, UK4, UK5, UK13; US: US5, US8, US9, US12, US14, US15, US17; Australia: AU1, AU2, AU3, AU3a, AU4, AU7; Brazil: BR2, BR3; Canada: CA2, CA3, CA5, CA7, CA8; China: CN1, CN2, CN5, CN7, CN9; India: IN1, IN2, IN3, IN4, IN11, IN13; Japan: JP1, JP2, JP3, JP4; Singapore: SG1, SG4, SG5, MAS 2.3 to 2.5, MAS 3.1 to 3.4, MAS 3.5, MAS 1.5, 3.6, MAS 5.4; South: KR5, KR6, KR7</t>
        </is>
      </c>
      <c r="AQ31" s="88" t="n">
        <v>174</v>
      </c>
      <c r="AR31" s="88" t="n">
        <v>73</v>
      </c>
      <c r="AS31" s="85" t="n"/>
      <c r="AT31" s="85" t="n"/>
      <c r="AU31" s="21">
        <f>IF(OR(AS31="",AT31=""),"",AS31*AT31)</f>
        <v/>
      </c>
      <c r="AV31" s="21">
        <f>IF(AU31="","",INDEX(Settings!$A$20:$A$23,MATCH(AU31,Settings!$B$20:$B$23,1)))</f>
        <v/>
      </c>
      <c r="AW31" s="21">
        <f>IF(AV31&lt;&gt;"",AV31,T31)</f>
        <v/>
      </c>
      <c r="AX31" s="21">
        <f>IF(AW31="","",IF(MATCH(AW31,Settings!$A$20:$A$23,0)&lt;=MATCH(Settings!$C$28,Settings!$A$20:$A$23,0),"Yes","No"))</f>
        <v/>
      </c>
      <c r="AY31" s="81">
        <f>IF(AW31="","",IF(AX31="Yes",INDEX(Settings!$G$20:$G$23,MATCH(AW31,Settings!$A$20:$A$23,0)),INDEX(Settings!$G$20:$G$23,MATCH(AW31,Settings!$A$20:$A$23,0))&amp;" (outside appetite)"))</f>
        <v/>
      </c>
      <c r="AZ31" s="82" t="n"/>
      <c r="BA31" s="82" t="n"/>
      <c r="BB31" s="89" t="n"/>
      <c r="BC31" s="90">
        <f>IF(OR(BB31="",T31=""),"",BB31+INDEX(Settings!$E$20:$E$23,MATCH(T31,Settings!$A$20:$A$23,0)))</f>
        <v/>
      </c>
      <c r="BD31" s="89" t="n"/>
      <c r="BE31" s="82" t="n"/>
      <c r="BF31" s="81">
        <f>IF(A31="","",IF(OR(BE31="Closed",BE31="Accepted"),"No action",IF(BB31="","Set date identified",IF(TODAY()&gt;BC31,"Deadline exceeded",IF(BC31-TODAY()&lt;=Settings!$C$30,"Deadline approaching","On track")))))</f>
        <v/>
      </c>
      <c r="BG31" s="89" t="n"/>
      <c r="BH31" s="89" t="n"/>
      <c r="BI31" s="90">
        <f>IF(OR(BH31="",AW31=""),"",EDATE(BH31,INDEX(Settings!$F$20:$F$23,MATCH(AW31,Settings!$A$20:$A$23,0))))</f>
        <v/>
      </c>
      <c r="BJ31" s="21">
        <f>IF(T31="","",IF(MAX(IF(T31="",0,MATCH(T31,Settings!$A$20:$A$23,0)),IF(AV31="",0,MATCH(AV31,Settings!$A$20:$A$23,0)))&gt;=MATCH(Settings!$C$29,Settings!$A$20:$A$23,0),"Yes","No"))</f>
        <v/>
      </c>
      <c r="BK31" s="82" t="n"/>
      <c r="BL31" s="81">
        <f>IF(A31="","",IF(TRIM(IF(W31="","Treatment not chosen. ","")&amp;IF(AND(W31="Accept",AX31="No"),"Accepted outside appetite: record approval by "&amp;INDEX(Settings!$G$20:$G$23,MATCH(AW31,Settings!$A$20:$A$23,0))&amp;". ","")&amp;IF(AND(W31="Accept",BG31=""),"Acceptance expiry missing. ","")&amp;IF(AND(BG31&lt;&gt;"",BG31&lt;TODAY()),"Acceptance expired. ","")&amp;IF(AND(W31&lt;&gt;"",W31&lt;&gt;"Accept",AV31=""),"Target rating not set. ","")&amp;IF(AND(BE31="Closed",AX31="No"),"Closed while outside appetite. ","")&amp;IF(AND(W31="Transfer",BE31&lt;&gt;"Transferred",BE31&lt;&gt;"Closed"),"Transfer: record the contract, SLA and audit rights. ","")&amp;IF(AZ31="","Risk owner missing. ","")&amp;IF(K31="","Scenario not written. ",""))="","OK",TRIM(IF(W31="","Treatment not chosen. ","")&amp;IF(AND(W31="Accept",AX31="No"),"Accepted outside appetite: record approval by "&amp;INDEX(Settings!$G$20:$G$23,MATCH(AW31,Settings!$A$20:$A$23,0))&amp;". ","")&amp;IF(AND(W31="Accept",BG31=""),"Acceptance expiry missing. ","")&amp;IF(AND(BG31&lt;&gt;"",BG31&lt;TODAY()),"Acceptance expired. ","")&amp;IF(AND(W31&lt;&gt;"",W31&lt;&gt;"Accept",AV31=""),"Target rating not set. ","")&amp;IF(AND(BE31="Closed",AX31="No"),"Closed while outside appetite. ","")&amp;IF(AND(W31="Transfer",BE31&lt;&gt;"Transferred",BE31&lt;&gt;"Closed"),"Transfer: record the contract, SLA and audit rights. ","")&amp;IF(AZ31="","Risk owner missing. ","")&amp;IF(K31="","Scenario not written. ",""))))</f>
        <v/>
      </c>
      <c r="BM31" s="82" t="inlineStr">
        <is>
          <t>Wiki example ratings: likelihood Medium, impact High, residual High, priority 27.</t>
        </is>
      </c>
    </row>
    <row r="32" ht="105" customHeight="1">
      <c r="A32" s="91" t="inlineStr">
        <is>
          <t>AI-R28</t>
        </is>
      </c>
      <c r="B32" s="92" t="inlineStr">
        <is>
          <t>Regulatory Non-Compliance from Unsupervised AI Decisions</t>
        </is>
      </c>
      <c r="C32" s="80" t="inlineStr">
        <is>
          <t>08</t>
        </is>
      </c>
      <c r="D32" s="81">
        <f>IF(C32="","",IFERROR(INDEX(Lists!$O$2:$O$13,MATCH(C32,Lists!$N$2:$N$13,0)),"Check domain code"))</f>
        <v/>
      </c>
      <c r="E32" s="81">
        <f>IF(C32="","",IFERROR(INDEX(Lists!$P$2:$P$13,MATCH(C32,Lists!$N$2:$N$13,0)),""))</f>
        <v/>
      </c>
      <c r="F32" s="80" t="n"/>
      <c r="G32" s="82" t="inlineStr">
        <is>
          <t>Enterprise-wide (all AI use)</t>
        </is>
      </c>
      <c r="H32" s="82" t="n"/>
      <c r="I32" s="82" t="n"/>
      <c r="J32" s="93" t="inlineStr">
        <is>
          <t>A regulated process may use AI without the supervision, records or accountability the regulator expects of a human performing the same step. Required controls include an obligation register, impact assessment, decision records, human oversight appropriate to the tier and a named accountable owner.</t>
        </is>
      </c>
      <c r="K32" s="82" t="n"/>
      <c r="L32" s="82" t="n"/>
      <c r="M32" s="94" t="inlineStr">
        <is>
          <t>B2; C1; C4</t>
        </is>
      </c>
      <c r="N32" s="21">
        <f>IF(COUNTIF(Triage!$E$6:$E$48,"Yes")+COUNTIF(Triage!$E$6:$E$48,"No")=0,"Not triaged",IF(SUMPRODUCT(COUNTIFS(Triage!$A$6:$A$48,{"B2","C1","C4"},Triage!$E$6:$E$48,"Yes"))&gt;0,"Applies","Not triggered"))</f>
        <v/>
      </c>
      <c r="O32" s="82" t="n"/>
      <c r="P32" s="85" t="n"/>
      <c r="Q32" s="85" t="n">
        <v>2</v>
      </c>
      <c r="R32" s="85" t="n">
        <v>4</v>
      </c>
      <c r="S32" s="21">
        <f>IF(OR(Q32="",R32=""),"",Q32*R32)</f>
        <v/>
      </c>
      <c r="T32" s="21">
        <f>IF(S32="","",INDEX(Settings!$A$20:$A$23,MATCH(S32,Settings!$B$20:$B$23,1)))</f>
        <v/>
      </c>
      <c r="U32" s="82" t="inlineStr">
        <is>
          <t>Qualitative (4 x 4)</t>
        </is>
      </c>
      <c r="V32" s="86" t="n"/>
      <c r="W32" s="85" t="n"/>
      <c r="X32" s="82" t="n"/>
      <c r="Y32" s="95" t="inlineStr">
        <is>
          <t>AI-CTRL-012, AI-CTRL-013, AI-CTRL-037, AI-CTRL-038, AI-CTRL-042, AI-CTRL-045</t>
        </is>
      </c>
      <c r="Z32" s="95" t="inlineStr">
        <is>
          <t>AI-CTRL-012, AI-CTRL-013</t>
        </is>
      </c>
      <c r="AA32" s="95" t="inlineStr">
        <is>
          <t>Obligation register; impact assessment; decision records; oversight</t>
        </is>
      </c>
      <c r="AB32" s="95" t="inlineStr">
        <is>
          <t>Obligation register; supervision records; impact assessments</t>
        </is>
      </c>
      <c r="AC32" s="95" t="inlineStr">
        <is>
          <t>A.2.2; A.2.3; A.2.4; A.3.2; A.5.2; A.5.3; A.5.4; A.5.5; A.9.2; A.9.3; Clause 6.1.2; Clause 6.1.3; Clause 9.1; Clause 9.2; Clause 9.3; Clause 10.2</t>
        </is>
      </c>
      <c r="AD32" s="95" t="inlineStr">
        <is>
          <t>A.5.1; A.5.2; A.5.4; A.5.8; A.5.10; A.5.31; A.5.33; A.5.34; A.5.35; A.5.36; A.6.2; A.6.4; A.8.10; A.8.11; Clause 6.1.2; Clause 6.1.3; Clause 9.2</t>
        </is>
      </c>
      <c r="AE32" s="95" t="inlineStr">
        <is>
          <t>GOVERN 1.1; GOVERN 1.2; GOVERN 1.3; GOVERN 1.4; GOVERN 1.5; GOVERN 2.1; GOVERN 2.2; GOVERN 3.2; MANAGE 1.2; MANAGE 1.4; MANAGE 4.2; MAP 1.1; MAP 1.5; MAP 3.5; MAP 5.1; MEASURE 1.2; MEASURE 1.3; MEASURE 2.10</t>
        </is>
      </c>
      <c r="AF32" s="95" t="inlineStr">
        <is>
          <t>ASI09; LLM02:2025; LLM06:2025</t>
        </is>
      </c>
      <c r="AG32" s="95" t="inlineStr">
        <is>
          <t>AML.T0057</t>
        </is>
      </c>
      <c r="AH32" s="95" t="inlineStr">
        <is>
          <t>AIR-RC-022</t>
        </is>
      </c>
      <c r="AI32" s="95" t="inlineStr">
        <is>
          <t>GV.OC; GV.OV; GV.PO; GV.RM; GV.RR; ID.IM; ID.RA; PR.DS</t>
        </is>
      </c>
      <c r="AJ32" s="96" t="inlineStr">
        <is>
          <t>CIS 3</t>
        </is>
      </c>
      <c r="AK32" s="95" t="inlineStr">
        <is>
          <t>CC1.3; CC2.2; CC3.1; CC3.2; CC4.1; CC4.2; CC5.3; CC9.1; P1.1; P3.1; P4.1; P4.2; P5.1</t>
        </is>
      </c>
      <c r="AL32" s="95" t="inlineStr">
        <is>
          <t>None</t>
        </is>
      </c>
      <c r="AM32" s="95" t="inlineStr">
        <is>
          <t>01 Roles and accountability; 03 Privacy and consent; 08 Regulatory compliance</t>
        </is>
      </c>
      <c r="AN32" s="95" t="inlineStr">
        <is>
          <t>None</t>
        </is>
      </c>
      <c r="AO32" s="95" t="inlineStr">
        <is>
          <t>OECD AI Principles: Principle 1.2, Principle 1.3, Principle 1.5; EU Ethics Guidelines: Human agency and oversight, Privacy and data governance, Accountability; UNESCO Recommendation: Proportionality and do no harm, Right to privacy and data protection, Multi-stakeholder and adaptive governance ..., Responsibility and accountability, Human oversight and determination; IEEE 7000-series: IEEE 7000-2021, IEEE 7002-2022; Council of Europe AI Convention: Art. 7, Art. 8, Art. 9, Art. 11, 14, 15, Art. 16; G7 Hiroshima Code: Action 1, Action 5, Action 11</t>
        </is>
      </c>
      <c r="AP32" s="95" t="inlineStr">
        <is>
          <t>GCC: U1, U3, U4, U5, U6, U7, U12, S1, S2, S3, S5, Q1, Q3, B1, B2, O1, O2; EU: E1a, E1b, E1c, E2, E3, E4, E8, E12, E17; UK: UK1, UK2, UK3, UK4, UK5, UK6, UK13; US: US5, US6, US8, US9, US12, US14, US15, US16, US17; Australia: AU1, AU2, AU3, AU3a, AU4, AU7; Brazil: BR1, BR2, BR3; Canada: CA2, CA3, CA4, CA5, CA6, CA7, CA8; China: CN1, CN2, CN5, CN7, CN9; India: IN1, IN2, IN3, IN4, IN5, IN6, IN7, IN11, IN13; Japan: JP1, JP2, JP3, JP4, JP6; Singapore: SG1, SG2, SG3, SG4, SG5, MAS 1.6, 2.1 to 2.2, MAS 2.3 to 2.5, MAS 3.1 to 3.4, MAS 3.5, MAS 1.5, 3.6, MAS 4.10 to 4.13, MAS 5.4, MAS 5.9, MAS 5.17, MAS 5.18 to 5.21, MAS 5.24; South: KR3, KR4, KR5, KR6, KR7</t>
        </is>
      </c>
      <c r="AQ32" s="96" t="n">
        <v>262</v>
      </c>
      <c r="AR32" s="96" t="n">
        <v>82</v>
      </c>
      <c r="AS32" s="85" t="n"/>
      <c r="AT32" s="85" t="n"/>
      <c r="AU32" s="21">
        <f>IF(OR(AS32="",AT32=""),"",AS32*AT32)</f>
        <v/>
      </c>
      <c r="AV32" s="21">
        <f>IF(AU32="","",INDEX(Settings!$A$20:$A$23,MATCH(AU32,Settings!$B$20:$B$23,1)))</f>
        <v/>
      </c>
      <c r="AW32" s="21">
        <f>IF(AV32&lt;&gt;"",AV32,T32)</f>
        <v/>
      </c>
      <c r="AX32" s="21">
        <f>IF(AW32="","",IF(MATCH(AW32,Settings!$A$20:$A$23,0)&lt;=MATCH(Settings!$C$28,Settings!$A$20:$A$23,0),"Yes","No"))</f>
        <v/>
      </c>
      <c r="AY32" s="81">
        <f>IF(AW32="","",IF(AX32="Yes",INDEX(Settings!$G$20:$G$23,MATCH(AW32,Settings!$A$20:$A$23,0)),INDEX(Settings!$G$20:$G$23,MATCH(AW32,Settings!$A$20:$A$23,0))&amp;" (outside appetite)"))</f>
        <v/>
      </c>
      <c r="AZ32" s="82" t="n"/>
      <c r="BA32" s="82" t="n"/>
      <c r="BB32" s="89" t="n"/>
      <c r="BC32" s="90">
        <f>IF(OR(BB32="",T32=""),"",BB32+INDEX(Settings!$E$20:$E$23,MATCH(T32,Settings!$A$20:$A$23,0)))</f>
        <v/>
      </c>
      <c r="BD32" s="89" t="n"/>
      <c r="BE32" s="82" t="n"/>
      <c r="BF32" s="81">
        <f>IF(A32="","",IF(OR(BE32="Closed",BE32="Accepted"),"No action",IF(BB32="","Set date identified",IF(TODAY()&gt;BC32,"Deadline exceeded",IF(BC32-TODAY()&lt;=Settings!$C$30,"Deadline approaching","On track")))))</f>
        <v/>
      </c>
      <c r="BG32" s="89" t="n"/>
      <c r="BH32" s="89" t="n"/>
      <c r="BI32" s="90">
        <f>IF(OR(BH32="",AW32=""),"",EDATE(BH32,INDEX(Settings!$F$20:$F$23,MATCH(AW32,Settings!$A$20:$A$23,0))))</f>
        <v/>
      </c>
      <c r="BJ32" s="21">
        <f>IF(T32="","",IF(MAX(IF(T32="",0,MATCH(T32,Settings!$A$20:$A$23,0)),IF(AV32="",0,MATCH(AV32,Settings!$A$20:$A$23,0)))&gt;=MATCH(Settings!$C$29,Settings!$A$20:$A$23,0),"Yes","No"))</f>
        <v/>
      </c>
      <c r="BK32" s="82" t="n"/>
      <c r="BL32" s="81">
        <f>IF(A32="","",IF(TRIM(IF(W32="","Treatment not chosen. ","")&amp;IF(AND(W32="Accept",AX32="No"),"Accepted outside appetite: record approval by "&amp;INDEX(Settings!$G$20:$G$23,MATCH(AW32,Settings!$A$20:$A$23,0))&amp;". ","")&amp;IF(AND(W32="Accept",BG32=""),"Acceptance expiry missing. ","")&amp;IF(AND(BG32&lt;&gt;"",BG32&lt;TODAY()),"Acceptance expired. ","")&amp;IF(AND(W32&lt;&gt;"",W32&lt;&gt;"Accept",AV32=""),"Target rating not set. ","")&amp;IF(AND(BE32="Closed",AX32="No"),"Closed while outside appetite. ","")&amp;IF(AND(W32="Transfer",BE32&lt;&gt;"Transferred",BE32&lt;&gt;"Closed"),"Transfer: record the contract, SLA and audit rights. ","")&amp;IF(AZ32="","Risk owner missing. ","")&amp;IF(K32="","Scenario not written. ",""))="","OK",TRIM(IF(W32="","Treatment not chosen. ","")&amp;IF(AND(W32="Accept",AX32="No"),"Accepted outside appetite: record approval by "&amp;INDEX(Settings!$G$20:$G$23,MATCH(AW32,Settings!$A$20:$A$23,0))&amp;". ","")&amp;IF(AND(W32="Accept",BG32=""),"Acceptance expiry missing. ","")&amp;IF(AND(BG32&lt;&gt;"",BG32&lt;TODAY()),"Acceptance expired. ","")&amp;IF(AND(W32&lt;&gt;"",W32&lt;&gt;"Accept",AV32=""),"Target rating not set. ","")&amp;IF(AND(BE32="Closed",AX32="No"),"Closed while outside appetite. ","")&amp;IF(AND(W32="Transfer",BE32&lt;&gt;"Transferred",BE32&lt;&gt;"Closed"),"Transfer: record the contract, SLA and audit rights. ","")&amp;IF(AZ32="","Risk owner missing. ","")&amp;IF(K32="","Scenario not written. ",""))))</f>
        <v/>
      </c>
      <c r="BM32" s="82" t="inlineStr">
        <is>
          <t>Wiki example ratings: likelihood Medium, impact Critical, residual High, priority 28.</t>
        </is>
      </c>
    </row>
    <row r="33" ht="105" customHeight="1">
      <c r="A33" s="78" t="inlineStr">
        <is>
          <t>AI-R29</t>
        </is>
      </c>
      <c r="B33" s="79" t="inlineStr">
        <is>
          <t>Unrealised AI Value and Misaligned AI Strategy</t>
        </is>
      </c>
      <c r="C33" s="80" t="inlineStr">
        <is>
          <t>02</t>
        </is>
      </c>
      <c r="D33" s="81">
        <f>IF(C33="","",IFERROR(INDEX(Lists!$O$2:$O$13,MATCH(C33,Lists!$N$2:$N$13,0)),"Check domain code"))</f>
        <v/>
      </c>
      <c r="E33" s="81">
        <f>IF(C33="","",IFERROR(INDEX(Lists!$P$2:$P$13,MATCH(C33,Lists!$N$2:$N$13,0)),""))</f>
        <v/>
      </c>
      <c r="F33" s="80" t="n"/>
      <c r="G33" s="82" t="inlineStr">
        <is>
          <t>Enterprise-wide (all AI use)</t>
        </is>
      </c>
      <c r="H33" s="82" t="n"/>
      <c r="I33" s="82" t="n"/>
      <c r="J33" s="83" t="inlineStr">
        <is>
          <t>AI may be adopted because of hype rather than a stated problem, pilots may stall without ever showing value, returns may depend on redesigning work nobody planned to redesign, and the full cost of data, integration and people may not be counted. The opposite also applies: failing to weigh the competitive cost of not adopting AI is a risk too, as is customers starting to reach the organization through their own AI agents, which can cut it off from the customer relationship. Required controls include a business case with a success measure and a risk and benefit weighing for each use case, a stage gate that stops or scales a pilot on evidence, and a review of value delivered after go-live. Adapted from AI Risk Map domain 02 (Strategy and Value Realization).</t>
        </is>
      </c>
      <c r="K33" s="82" t="n"/>
      <c r="L33" s="82" t="n"/>
      <c r="M33" s="84" t="inlineStr">
        <is>
          <t>E1</t>
        </is>
      </c>
      <c r="N33" s="21">
        <f>IF(COUNTIF(Triage!$E$6:$E$48,"Yes")+COUNTIF(Triage!$E$6:$E$48,"No")=0,"Not triaged",IF(SUMPRODUCT(COUNTIFS(Triage!$A$6:$A$48,{"E1"},Triage!$E$6:$E$48,"Yes"))&gt;0,"Applies","Not triggered"))</f>
        <v/>
      </c>
      <c r="O33" s="82" t="n"/>
      <c r="P33" s="85" t="n"/>
      <c r="Q33" s="85" t="n">
        <v>2</v>
      </c>
      <c r="R33" s="85" t="n">
        <v>3</v>
      </c>
      <c r="S33" s="21">
        <f>IF(OR(Q33="",R33=""),"",Q33*R33)</f>
        <v/>
      </c>
      <c r="T33" s="21">
        <f>IF(S33="","",INDEX(Settings!$A$20:$A$23,MATCH(S33,Settings!$B$20:$B$23,1)))</f>
        <v/>
      </c>
      <c r="U33" s="82" t="inlineStr">
        <is>
          <t>Qualitative (4 x 4)</t>
        </is>
      </c>
      <c r="V33" s="86" t="n"/>
      <c r="W33" s="85" t="n"/>
      <c r="X33" s="82" t="n"/>
      <c r="Y33" s="87" t="inlineStr">
        <is>
          <t>AI-CTRL-011, AI-CTRL-037</t>
        </is>
      </c>
      <c r="Z33" s="87" t="inlineStr">
        <is>
          <t>AI-CTRL-011</t>
        </is>
      </c>
      <c r="AA33" s="87" t="inlineStr">
        <is>
          <t>Business case and success measure; stage gates; value review</t>
        </is>
      </c>
      <c r="AB33" s="87" t="inlineStr">
        <is>
          <t>Use-case business cases; stage-gate decisions; post-implementation value reviews</t>
        </is>
      </c>
      <c r="AC33" s="87" t="inlineStr">
        <is>
          <t>A.4.2; A.5.2; A.9.4; Clause 6.1.2; Clause 6.1.3</t>
        </is>
      </c>
      <c r="AD33" s="87" t="inlineStr">
        <is>
          <t>A.5.8; A.5.9; A.5.12; Clause 6.1.2; Clause 6.1.3</t>
        </is>
      </c>
      <c r="AE33" s="87" t="inlineStr">
        <is>
          <t>GOVERN 1.3; GOVERN 1.6; GOVERN 1.7; MANAGE 1.2; MANAGE 1.4; MAP 1.1; MAP 1.5</t>
        </is>
      </c>
      <c r="AF33" s="87" t="inlineStr"/>
      <c r="AG33" s="87" t="inlineStr"/>
      <c r="AH33" s="87" t="inlineStr">
        <is>
          <t>Not checked</t>
        </is>
      </c>
      <c r="AI33" s="87" t="inlineStr">
        <is>
          <t>GV.RM; ID.AM; ID.RA</t>
        </is>
      </c>
      <c r="AJ33" s="88" t="inlineStr">
        <is>
          <t>CIS 1; CIS 2</t>
        </is>
      </c>
      <c r="AK33" s="87" t="inlineStr">
        <is>
          <t>CC3.1; CC3.2; CC9.1</t>
        </is>
      </c>
      <c r="AL33" s="87" t="inlineStr">
        <is>
          <t>None</t>
        </is>
      </c>
      <c r="AM33" s="87" t="inlineStr">
        <is>
          <t>02 Competitive position; 02 AI strategy and roadmap; 02 Use-case selection and sourcing; 02 Value measurement / ROI</t>
        </is>
      </c>
      <c r="AN33" s="87" t="inlineStr">
        <is>
          <t>None</t>
        </is>
      </c>
      <c r="AO33" s="87" t="inlineStr">
        <is>
          <t>None</t>
        </is>
      </c>
      <c r="AP33" s="87" t="inlineStr">
        <is>
          <t>None</t>
        </is>
      </c>
      <c r="AQ33" s="88" t="n">
        <v>4</v>
      </c>
      <c r="AR33" s="88" t="n">
        <v>29</v>
      </c>
      <c r="AS33" s="85" t="n"/>
      <c r="AT33" s="85" t="n"/>
      <c r="AU33" s="21">
        <f>IF(OR(AS33="",AT33=""),"",AS33*AT33)</f>
        <v/>
      </c>
      <c r="AV33" s="21">
        <f>IF(AU33="","",INDEX(Settings!$A$20:$A$23,MATCH(AU33,Settings!$B$20:$B$23,1)))</f>
        <v/>
      </c>
      <c r="AW33" s="21">
        <f>IF(AV33&lt;&gt;"",AV33,T33)</f>
        <v/>
      </c>
      <c r="AX33" s="21">
        <f>IF(AW33="","",IF(MATCH(AW33,Settings!$A$20:$A$23,0)&lt;=MATCH(Settings!$C$28,Settings!$A$20:$A$23,0),"Yes","No"))</f>
        <v/>
      </c>
      <c r="AY33" s="81">
        <f>IF(AW33="","",IF(AX33="Yes",INDEX(Settings!$G$20:$G$23,MATCH(AW33,Settings!$A$20:$A$23,0)),INDEX(Settings!$G$20:$G$23,MATCH(AW33,Settings!$A$20:$A$23,0))&amp;" (outside appetite)"))</f>
        <v/>
      </c>
      <c r="AZ33" s="82" t="n"/>
      <c r="BA33" s="82" t="n"/>
      <c r="BB33" s="89" t="n"/>
      <c r="BC33" s="90">
        <f>IF(OR(BB33="",T33=""),"",BB33+INDEX(Settings!$E$20:$E$23,MATCH(T33,Settings!$A$20:$A$23,0)))</f>
        <v/>
      </c>
      <c r="BD33" s="89" t="n"/>
      <c r="BE33" s="82" t="n"/>
      <c r="BF33" s="81">
        <f>IF(A33="","",IF(OR(BE33="Closed",BE33="Accepted"),"No action",IF(BB33="","Set date identified",IF(TODAY()&gt;BC33,"Deadline exceeded",IF(BC33-TODAY()&lt;=Settings!$C$30,"Deadline approaching","On track")))))</f>
        <v/>
      </c>
      <c r="BG33" s="89" t="n"/>
      <c r="BH33" s="89" t="n"/>
      <c r="BI33" s="90">
        <f>IF(OR(BH33="",AW33=""),"",EDATE(BH33,INDEX(Settings!$F$20:$F$23,MATCH(AW33,Settings!$A$20:$A$23,0))))</f>
        <v/>
      </c>
      <c r="BJ33" s="21">
        <f>IF(T33="","",IF(MAX(IF(T33="",0,MATCH(T33,Settings!$A$20:$A$23,0)),IF(AV33="",0,MATCH(AV33,Settings!$A$20:$A$23,0)))&gt;=MATCH(Settings!$C$29,Settings!$A$20:$A$23,0),"Yes","No"))</f>
        <v/>
      </c>
      <c r="BK33" s="82" t="n"/>
      <c r="BL33" s="81">
        <f>IF(A33="","",IF(TRIM(IF(W33="","Treatment not chosen. ","")&amp;IF(AND(W33="Accept",AX33="No"),"Accepted outside appetite: record approval by "&amp;INDEX(Settings!$G$20:$G$23,MATCH(AW33,Settings!$A$20:$A$23,0))&amp;". ","")&amp;IF(AND(W33="Accept",BG33=""),"Acceptance expiry missing. ","")&amp;IF(AND(BG33&lt;&gt;"",BG33&lt;TODAY()),"Acceptance expired. ","")&amp;IF(AND(W33&lt;&gt;"",W33&lt;&gt;"Accept",AV33=""),"Target rating not set. ","")&amp;IF(AND(BE33="Closed",AX33="No"),"Closed while outside appetite. ","")&amp;IF(AND(W33="Transfer",BE33&lt;&gt;"Transferred",BE33&lt;&gt;"Closed"),"Transfer: record the contract, SLA and audit rights. ","")&amp;IF(AZ33="","Risk owner missing. ","")&amp;IF(K33="","Scenario not written. ",""))="","OK",TRIM(IF(W33="","Treatment not chosen. ","")&amp;IF(AND(W33="Accept",AX33="No"),"Accepted outside appetite: record approval by "&amp;INDEX(Settings!$G$20:$G$23,MATCH(AW33,Settings!$A$20:$A$23,0))&amp;". ","")&amp;IF(AND(W33="Accept",BG33=""),"Acceptance expiry missing. ","")&amp;IF(AND(BG33&lt;&gt;"",BG33&lt;TODAY()),"Acceptance expired. ","")&amp;IF(AND(W33&lt;&gt;"",W33&lt;&gt;"Accept",AV33=""),"Target rating not set. ","")&amp;IF(AND(BE33="Closed",AX33="No"),"Closed while outside appetite. ","")&amp;IF(AND(W33="Transfer",BE33&lt;&gt;"Transferred",BE33&lt;&gt;"Closed"),"Transfer: record the contract, SLA and audit rights. ","")&amp;IF(AZ33="","Risk owner missing. ","")&amp;IF(K33="","Scenario not written. ",""))))</f>
        <v/>
      </c>
      <c r="BM33" s="82" t="inlineStr">
        <is>
          <t>Wiki example ratings: likelihood Medium, impact High, residual Medium, priority 29.</t>
        </is>
      </c>
    </row>
    <row r="34" ht="105" customHeight="1">
      <c r="A34" s="91" t="inlineStr">
        <is>
          <t>AI-R30</t>
        </is>
      </c>
      <c r="B34" s="92" t="inlineStr">
        <is>
          <t>AI Cost Volatility and Stranded Investment</t>
        </is>
      </c>
      <c r="C34" s="80" t="inlineStr">
        <is>
          <t>11</t>
        </is>
      </c>
      <c r="D34" s="81">
        <f>IF(C34="","",IFERROR(INDEX(Lists!$O$2:$O$13,MATCH(C34,Lists!$N$2:$N$13,0)),"Check domain code"))</f>
        <v/>
      </c>
      <c r="E34" s="81">
        <f>IF(C34="","",IFERROR(INDEX(Lists!$P$2:$P$13,MATCH(C34,Lists!$N$2:$N$13,0)),""))</f>
        <v/>
      </c>
      <c r="F34" s="80" t="n"/>
      <c r="G34" s="82" t="inlineStr">
        <is>
          <t>Enterprise-wide (all AI use)</t>
        </is>
      </c>
      <c r="H34" s="82" t="n"/>
      <c r="I34" s="82" t="n"/>
      <c r="J34" s="93" t="inlineStr">
        <is>
          <t>Providers can change token prices, tiers or context limits on their own terms, usage forecasts made in a pilot rarely hold at production scale, and money can be committed to a system that is scaled too early or kept going past failure. Insurance cover may also exclude AI losses or define a user as a human only. This differs from AI-R11, which is about abuse; this risk arises from normal use. Required controls include cost forecasts that are revisited as usage grows, contract terms on price changes, a decision point to stop funding, and a review of insurance wording for AI. Adapted from AI Risk Map domain 11 (Financial and Resource).</t>
        </is>
      </c>
      <c r="K34" s="82" t="n"/>
      <c r="L34" s="82" t="n"/>
      <c r="M34" s="94" t="inlineStr">
        <is>
          <t>E1; E2</t>
        </is>
      </c>
      <c r="N34" s="21">
        <f>IF(COUNTIF(Triage!$E$6:$E$48,"Yes")+COUNTIF(Triage!$E$6:$E$48,"No")=0,"Not triaged",IF(SUMPRODUCT(COUNTIFS(Triage!$A$6:$A$48,{"E1","E2"},Triage!$E$6:$E$48,"Yes"))&gt;0,"Applies","Not triggered"))</f>
        <v/>
      </c>
      <c r="O34" s="82" t="n"/>
      <c r="P34" s="85" t="n"/>
      <c r="Q34" s="85" t="n">
        <v>2</v>
      </c>
      <c r="R34" s="85" t="n">
        <v>3</v>
      </c>
      <c r="S34" s="21">
        <f>IF(OR(Q34="",R34=""),"",Q34*R34)</f>
        <v/>
      </c>
      <c r="T34" s="21">
        <f>IF(S34="","",INDEX(Settings!$A$20:$A$23,MATCH(S34,Settings!$B$20:$B$23,1)))</f>
        <v/>
      </c>
      <c r="U34" s="82" t="inlineStr">
        <is>
          <t>Qualitative (4 x 4)</t>
        </is>
      </c>
      <c r="V34" s="86" t="n"/>
      <c r="W34" s="85" t="n"/>
      <c r="X34" s="82" t="n"/>
      <c r="Y34" s="95" t="inlineStr">
        <is>
          <t>AI-CTRL-036, AI-CTRL-014, AI-CTRL-037</t>
        </is>
      </c>
      <c r="Z34" s="95" t="inlineStr">
        <is>
          <t>AI-CTRL-036, AI-CTRL-014</t>
        </is>
      </c>
      <c r="AA34" s="95" t="inlineStr">
        <is>
          <t>Cost forecasting and attribution; contract price terms; funding decision points</t>
        </is>
      </c>
      <c r="AB34" s="95" t="inlineStr">
        <is>
          <t>Cost forecasts against actuals; contract price-change clauses; insurance wording review</t>
        </is>
      </c>
      <c r="AC34" s="95" t="inlineStr">
        <is>
          <t>A.4.5; A.10.2; A.10.3; Clause 6.1.2; Clause 6.1.3</t>
        </is>
      </c>
      <c r="AD34" s="95" t="inlineStr">
        <is>
          <t>A.5.11; A.5.19; A.5.20; A.5.21; A.5.22; A.5.23; A.8.6; A.8.16; Clause 6.1.2; Clause 6.1.3</t>
        </is>
      </c>
      <c r="AE34" s="95" t="inlineStr">
        <is>
          <t>GOVERN 1.3; GOVERN 6.1; GOVERN 6.2; MANAGE 1.2; MANAGE 1.4; MANAGE 3.1; MANAGE 4.1; MAP 1.5; MEASURE 2.7</t>
        </is>
      </c>
      <c r="AF34" s="95" t="inlineStr">
        <is>
          <t>LLM03:2025; LLM10:2025</t>
        </is>
      </c>
      <c r="AG34" s="95" t="inlineStr">
        <is>
          <t>AML.T0010; AML.T0029; AML.T0034; AML.T0046; AML.T0109</t>
        </is>
      </c>
      <c r="AH34" s="95" t="inlineStr">
        <is>
          <t>Not checked</t>
        </is>
      </c>
      <c r="AI34" s="95" t="inlineStr">
        <is>
          <t>DE.CM; GV.RM; GV.SC; ID.RA; PR.IR</t>
        </is>
      </c>
      <c r="AJ34" s="96" t="inlineStr">
        <is>
          <t>CIS 15</t>
        </is>
      </c>
      <c r="AK34" s="95" t="inlineStr">
        <is>
          <t>A1.1; CC3.1; CC3.2; CC9.1; CC9.2</t>
        </is>
      </c>
      <c r="AL34" s="95" t="inlineStr">
        <is>
          <t>None</t>
        </is>
      </c>
      <c r="AM34" s="95" t="inlineStr">
        <is>
          <t>02 Value measurement / ROI; 11 Cost and compute economics; 11 Investment / procurement</t>
        </is>
      </c>
      <c r="AN34" s="95" t="inlineStr">
        <is>
          <t>None</t>
        </is>
      </c>
      <c r="AO34" s="95" t="inlineStr">
        <is>
          <t>None</t>
        </is>
      </c>
      <c r="AP34" s="95" t="inlineStr">
        <is>
          <t>None</t>
        </is>
      </c>
      <c r="AQ34" s="96" t="n">
        <v>3</v>
      </c>
      <c r="AR34" s="96" t="n">
        <v>65</v>
      </c>
      <c r="AS34" s="85" t="n"/>
      <c r="AT34" s="85" t="n"/>
      <c r="AU34" s="21">
        <f>IF(OR(AS34="",AT34=""),"",AS34*AT34)</f>
        <v/>
      </c>
      <c r="AV34" s="21">
        <f>IF(AU34="","",INDEX(Settings!$A$20:$A$23,MATCH(AU34,Settings!$B$20:$B$23,1)))</f>
        <v/>
      </c>
      <c r="AW34" s="21">
        <f>IF(AV34&lt;&gt;"",AV34,T34)</f>
        <v/>
      </c>
      <c r="AX34" s="21">
        <f>IF(AW34="","",IF(MATCH(AW34,Settings!$A$20:$A$23,0)&lt;=MATCH(Settings!$C$28,Settings!$A$20:$A$23,0),"Yes","No"))</f>
        <v/>
      </c>
      <c r="AY34" s="81">
        <f>IF(AW34="","",IF(AX34="Yes",INDEX(Settings!$G$20:$G$23,MATCH(AW34,Settings!$A$20:$A$23,0)),INDEX(Settings!$G$20:$G$23,MATCH(AW34,Settings!$A$20:$A$23,0))&amp;" (outside appetite)"))</f>
        <v/>
      </c>
      <c r="AZ34" s="82" t="n"/>
      <c r="BA34" s="82" t="n"/>
      <c r="BB34" s="89" t="n"/>
      <c r="BC34" s="90">
        <f>IF(OR(BB34="",T34=""),"",BB34+INDEX(Settings!$E$20:$E$23,MATCH(T34,Settings!$A$20:$A$23,0)))</f>
        <v/>
      </c>
      <c r="BD34" s="89" t="n"/>
      <c r="BE34" s="82" t="n"/>
      <c r="BF34" s="81">
        <f>IF(A34="","",IF(OR(BE34="Closed",BE34="Accepted"),"No action",IF(BB34="","Set date identified",IF(TODAY()&gt;BC34,"Deadline exceeded",IF(BC34-TODAY()&lt;=Settings!$C$30,"Deadline approaching","On track")))))</f>
        <v/>
      </c>
      <c r="BG34" s="89" t="n"/>
      <c r="BH34" s="89" t="n"/>
      <c r="BI34" s="90">
        <f>IF(OR(BH34="",AW34=""),"",EDATE(BH34,INDEX(Settings!$F$20:$F$23,MATCH(AW34,Settings!$A$20:$A$23,0))))</f>
        <v/>
      </c>
      <c r="BJ34" s="21">
        <f>IF(T34="","",IF(MAX(IF(T34="",0,MATCH(T34,Settings!$A$20:$A$23,0)),IF(AV34="",0,MATCH(AV34,Settings!$A$20:$A$23,0)))&gt;=MATCH(Settings!$C$29,Settings!$A$20:$A$23,0),"Yes","No"))</f>
        <v/>
      </c>
      <c r="BK34" s="82" t="n"/>
      <c r="BL34" s="81">
        <f>IF(A34="","",IF(TRIM(IF(W34="","Treatment not chosen. ","")&amp;IF(AND(W34="Accept",AX34="No"),"Accepted outside appetite: record approval by "&amp;INDEX(Settings!$G$20:$G$23,MATCH(AW34,Settings!$A$20:$A$23,0))&amp;". ","")&amp;IF(AND(W34="Accept",BG34=""),"Acceptance expiry missing. ","")&amp;IF(AND(BG34&lt;&gt;"",BG34&lt;TODAY()),"Acceptance expired. ","")&amp;IF(AND(W34&lt;&gt;"",W34&lt;&gt;"Accept",AV34=""),"Target rating not set. ","")&amp;IF(AND(BE34="Closed",AX34="No"),"Closed while outside appetite. ","")&amp;IF(AND(W34="Transfer",BE34&lt;&gt;"Transferred",BE34&lt;&gt;"Closed"),"Transfer: record the contract, SLA and audit rights. ","")&amp;IF(AZ34="","Risk owner missing. ","")&amp;IF(K34="","Scenario not written. ",""))="","OK",TRIM(IF(W34="","Treatment not chosen. ","")&amp;IF(AND(W34="Accept",AX34="No"),"Accepted outside appetite: record approval by "&amp;INDEX(Settings!$G$20:$G$23,MATCH(AW34,Settings!$A$20:$A$23,0))&amp;". ","")&amp;IF(AND(W34="Accept",BG34=""),"Acceptance expiry missing. ","")&amp;IF(AND(BG34&lt;&gt;"",BG34&lt;TODAY()),"Acceptance expired. ","")&amp;IF(AND(W34&lt;&gt;"",W34&lt;&gt;"Accept",AV34=""),"Target rating not set. ","")&amp;IF(AND(BE34="Closed",AX34="No"),"Closed while outside appetite. ","")&amp;IF(AND(W34="Transfer",BE34&lt;&gt;"Transferred",BE34&lt;&gt;"Closed"),"Transfer: record the contract, SLA and audit rights. ","")&amp;IF(AZ34="","Risk owner missing. ","")&amp;IF(K34="","Scenario not written. ",""))))</f>
        <v/>
      </c>
      <c r="BM34" s="82" t="inlineStr">
        <is>
          <t>Wiki example ratings: likelihood Medium, impact High, residual Medium, priority 30.</t>
        </is>
      </c>
    </row>
    <row r="35" ht="105" customHeight="1">
      <c r="A35" s="78" t="inlineStr">
        <is>
          <t>AI-R31</t>
        </is>
      </c>
      <c r="B35" s="79" t="inlineStr">
        <is>
          <t>Model Provider Concentration, Lock-in and Deprecation</t>
        </is>
      </c>
      <c r="C35" s="80" t="inlineStr">
        <is>
          <t>09</t>
        </is>
      </c>
      <c r="D35" s="81">
        <f>IF(C35="","",IFERROR(INDEX(Lists!$O$2:$O$13,MATCH(C35,Lists!$N$2:$N$13,0)),"Check domain code"))</f>
        <v/>
      </c>
      <c r="E35" s="81">
        <f>IF(C35="","",IFERROR(INDEX(Lists!$P$2:$P$13,MATCH(C35,Lists!$N$2:$N$13,0)),""))</f>
        <v/>
      </c>
      <c r="F35" s="80" t="n"/>
      <c r="G35" s="82" t="inlineStr">
        <is>
          <t>Enterprise-wide (all AI use)</t>
        </is>
      </c>
      <c r="H35" s="82" t="n"/>
      <c r="I35" s="82" t="n"/>
      <c r="J35" s="83" t="inlineStr">
        <is>
          <t>Many systems may depend on a few model providers, proprietary APIs and fine-tunes make switching costly, and fine-tuned models, embeddings and prompts often do not transfer between providers. A provider can retire a model or change its behaviour and force an unplanned migration, and shortages of GPUs, compute capacity or power can limit how far a system can scale, or lead a provider to ration capacity. AI-R13 covers outages and AI-R16 covers version changes; this risk covers the dependence itself. Required controls include a record of which systems depend on which provider and model, exit provisions in contracts, a tested migration path for critical systems and tracking of provider deprecation notices. Adapted from AI Risk Map domain 09 (Third-Party and Model Supply Chain).</t>
        </is>
      </c>
      <c r="K35" s="82" t="n"/>
      <c r="L35" s="82" t="n"/>
      <c r="M35" s="84" t="inlineStr">
        <is>
          <t>E3</t>
        </is>
      </c>
      <c r="N35" s="21">
        <f>IF(COUNTIF(Triage!$E$6:$E$48,"Yes")+COUNTIF(Triage!$E$6:$E$48,"No")=0,"Not triaged",IF(SUMPRODUCT(COUNTIFS(Triage!$A$6:$A$48,{"E3"},Triage!$E$6:$E$48,"Yes"))&gt;0,"Applies","Not triggered"))</f>
        <v/>
      </c>
      <c r="O35" s="82" t="n"/>
      <c r="P35" s="85" t="n"/>
      <c r="Q35" s="85" t="n">
        <v>2</v>
      </c>
      <c r="R35" s="85" t="n">
        <v>3</v>
      </c>
      <c r="S35" s="21">
        <f>IF(OR(Q35="",R35=""),"",Q35*R35)</f>
        <v/>
      </c>
      <c r="T35" s="21">
        <f>IF(S35="","",INDEX(Settings!$A$20:$A$23,MATCH(S35,Settings!$B$20:$B$23,1)))</f>
        <v/>
      </c>
      <c r="U35" s="82" t="inlineStr">
        <is>
          <t>Qualitative (4 x 4)</t>
        </is>
      </c>
      <c r="V35" s="86" t="n"/>
      <c r="W35" s="85" t="n"/>
      <c r="X35" s="82" t="n"/>
      <c r="Y35" s="87" t="inlineStr">
        <is>
          <t>AI-CTRL-014, AI-CTRL-031, AI-CTRL-040</t>
        </is>
      </c>
      <c r="Z35" s="87" t="inlineStr">
        <is>
          <t>AI-CTRL-014</t>
        </is>
      </c>
      <c r="AA35" s="87" t="inlineStr">
        <is>
          <t>Provider dependency record; exit provisions; migration planning; deprecation tracking</t>
        </is>
      </c>
      <c r="AB35" s="87" t="inlineStr">
        <is>
          <t>Provider and model dependency map; exit plans; migration test; deprecation notice log</t>
        </is>
      </c>
      <c r="AC35" s="87" t="inlineStr">
        <is>
          <t>A.4.2; A.4.5; A.6.2.6; A.6.2.7; A.7.5; A.10.2; A.10.3</t>
        </is>
      </c>
      <c r="AD35" s="87" t="inlineStr">
        <is>
          <t>A.5.9; A.5.11; A.5.19; A.5.20; A.5.21; A.5.22; A.5.23; A.5.29; A.5.30; A.8.6; A.8.8; A.8.13; A.8.14; A.8.19; A.8.30</t>
        </is>
      </c>
      <c r="AE35" s="87" t="inlineStr">
        <is>
          <t>GOVERN 6.1; GOVERN 6.2; MANAGE 2.3; MANAGE 3.1; MANAGE 3.2; MAP 4.1; MEASURE 2.7</t>
        </is>
      </c>
      <c r="AF35" s="87" t="inlineStr">
        <is>
          <t>LLM03:2025</t>
        </is>
      </c>
      <c r="AG35" s="87" t="inlineStr">
        <is>
          <t>AML.T0010; AML.T0029; AML.T0109; AML.T0111; AML.T0115</t>
        </is>
      </c>
      <c r="AH35" s="87" t="inlineStr">
        <is>
          <t>Not checked</t>
        </is>
      </c>
      <c r="AI35" s="87" t="inlineStr">
        <is>
          <t>GV.SC; ID.AM; ID.RA; PR.IR; RC.RP</t>
        </is>
      </c>
      <c r="AJ35" s="88" t="inlineStr">
        <is>
          <t>CIS 2; CIS 7; CIS 11; CIS 15; CIS 16</t>
        </is>
      </c>
      <c r="AK35" s="87" t="inlineStr">
        <is>
          <t>A1.1; A1.2; A1.3; CC7.1; CC9.1; CC9.2</t>
        </is>
      </c>
      <c r="AL35" s="87" t="inlineStr">
        <is>
          <t>None</t>
        </is>
      </c>
      <c r="AM35" s="87" t="inlineStr">
        <is>
          <t>07 Change and lifecycle management; 09 Foundation-model dependence; 09 Lock-in and portability; 11 Scaling and resource constraints</t>
        </is>
      </c>
      <c r="AN35" s="87" t="inlineStr">
        <is>
          <t>None</t>
        </is>
      </c>
      <c r="AO35" s="87" t="inlineStr">
        <is>
          <t>None</t>
        </is>
      </c>
      <c r="AP35" s="87" t="inlineStr">
        <is>
          <t>None</t>
        </is>
      </c>
      <c r="AQ35" s="88" t="n">
        <v>4</v>
      </c>
      <c r="AR35" s="88" t="n">
        <v>62</v>
      </c>
      <c r="AS35" s="85" t="n"/>
      <c r="AT35" s="85" t="n"/>
      <c r="AU35" s="21">
        <f>IF(OR(AS35="",AT35=""),"",AS35*AT35)</f>
        <v/>
      </c>
      <c r="AV35" s="21">
        <f>IF(AU35="","",INDEX(Settings!$A$20:$A$23,MATCH(AU35,Settings!$B$20:$B$23,1)))</f>
        <v/>
      </c>
      <c r="AW35" s="21">
        <f>IF(AV35&lt;&gt;"",AV35,T35)</f>
        <v/>
      </c>
      <c r="AX35" s="21">
        <f>IF(AW35="","",IF(MATCH(AW35,Settings!$A$20:$A$23,0)&lt;=MATCH(Settings!$C$28,Settings!$A$20:$A$23,0),"Yes","No"))</f>
        <v/>
      </c>
      <c r="AY35" s="81">
        <f>IF(AW35="","",IF(AX35="Yes",INDEX(Settings!$G$20:$G$23,MATCH(AW35,Settings!$A$20:$A$23,0)),INDEX(Settings!$G$20:$G$23,MATCH(AW35,Settings!$A$20:$A$23,0))&amp;" (outside appetite)"))</f>
        <v/>
      </c>
      <c r="AZ35" s="82" t="n"/>
      <c r="BA35" s="82" t="n"/>
      <c r="BB35" s="89" t="n"/>
      <c r="BC35" s="90">
        <f>IF(OR(BB35="",T35=""),"",BB35+INDEX(Settings!$E$20:$E$23,MATCH(T35,Settings!$A$20:$A$23,0)))</f>
        <v/>
      </c>
      <c r="BD35" s="89" t="n"/>
      <c r="BE35" s="82" t="n"/>
      <c r="BF35" s="81">
        <f>IF(A35="","",IF(OR(BE35="Closed",BE35="Accepted"),"No action",IF(BB35="","Set date identified",IF(TODAY()&gt;BC35,"Deadline exceeded",IF(BC35-TODAY()&lt;=Settings!$C$30,"Deadline approaching","On track")))))</f>
        <v/>
      </c>
      <c r="BG35" s="89" t="n"/>
      <c r="BH35" s="89" t="n"/>
      <c r="BI35" s="90">
        <f>IF(OR(BH35="",AW35=""),"",EDATE(BH35,INDEX(Settings!$F$20:$F$23,MATCH(AW35,Settings!$A$20:$A$23,0))))</f>
        <v/>
      </c>
      <c r="BJ35" s="21">
        <f>IF(T35="","",IF(MAX(IF(T35="",0,MATCH(T35,Settings!$A$20:$A$23,0)),IF(AV35="",0,MATCH(AV35,Settings!$A$20:$A$23,0)))&gt;=MATCH(Settings!$C$29,Settings!$A$20:$A$23,0),"Yes","No"))</f>
        <v/>
      </c>
      <c r="BK35" s="82" t="n"/>
      <c r="BL35" s="81">
        <f>IF(A35="","",IF(TRIM(IF(W35="","Treatment not chosen. ","")&amp;IF(AND(W35="Accept",AX35="No"),"Accepted outside appetite: record approval by "&amp;INDEX(Settings!$G$20:$G$23,MATCH(AW35,Settings!$A$20:$A$23,0))&amp;". ","")&amp;IF(AND(W35="Accept",BG35=""),"Acceptance expiry missing. ","")&amp;IF(AND(BG35&lt;&gt;"",BG35&lt;TODAY()),"Acceptance expired. ","")&amp;IF(AND(W35&lt;&gt;"",W35&lt;&gt;"Accept",AV35=""),"Target rating not set. ","")&amp;IF(AND(BE35="Closed",AX35="No"),"Closed while outside appetite. ","")&amp;IF(AND(W35="Transfer",BE35&lt;&gt;"Transferred",BE35&lt;&gt;"Closed"),"Transfer: record the contract, SLA and audit rights. ","")&amp;IF(AZ35="","Risk owner missing. ","")&amp;IF(K35="","Scenario not written. ",""))="","OK",TRIM(IF(W35="","Treatment not chosen. ","")&amp;IF(AND(W35="Accept",AX35="No"),"Accepted outside appetite: record approval by "&amp;INDEX(Settings!$G$20:$G$23,MATCH(AW35,Settings!$A$20:$A$23,0))&amp;". ","")&amp;IF(AND(W35="Accept",BG35=""),"Acceptance expiry missing. ","")&amp;IF(AND(BG35&lt;&gt;"",BG35&lt;TODAY()),"Acceptance expired. ","")&amp;IF(AND(W35&lt;&gt;"",W35&lt;&gt;"Accept",AV35=""),"Target rating not set. ","")&amp;IF(AND(BE35="Closed",AX35="No"),"Closed while outside appetite. ","")&amp;IF(AND(W35="Transfer",BE35&lt;&gt;"Transferred",BE35&lt;&gt;"Closed"),"Transfer: record the contract, SLA and audit rights. ","")&amp;IF(AZ35="","Risk owner missing. ","")&amp;IF(K35="","Scenario not written. ",""))))</f>
        <v/>
      </c>
      <c r="BM35" s="82" t="inlineStr">
        <is>
          <t>Wiki example ratings: likelihood Medium, impact High, residual High, priority 31.</t>
        </is>
      </c>
    </row>
    <row r="36" ht="105" customHeight="1">
      <c r="A36" s="91" t="inlineStr">
        <is>
          <t>AI-R32</t>
        </is>
      </c>
      <c r="B36" s="92" t="inlineStr">
        <is>
          <t>Model Monoculture and Correlated Failure</t>
        </is>
      </c>
      <c r="C36" s="80" t="inlineStr">
        <is>
          <t>09</t>
        </is>
      </c>
      <c r="D36" s="81">
        <f>IF(C36="","",IFERROR(INDEX(Lists!$O$2:$O$13,MATCH(C36,Lists!$N$2:$N$13,0)),"Check domain code"))</f>
        <v/>
      </c>
      <c r="E36" s="81">
        <f>IF(C36="","",IFERROR(INDEX(Lists!$P$2:$P$13,MATCH(C36,Lists!$N$2:$N$13,0)),""))</f>
        <v/>
      </c>
      <c r="F36" s="80" t="n"/>
      <c r="G36" s="82" t="inlineStr">
        <is>
          <t>Enterprise-wide (all AI use)</t>
        </is>
      </c>
      <c r="H36" s="82" t="n"/>
      <c r="I36" s="82" t="n"/>
      <c r="J36" s="93" t="inlineStr">
        <is>
          <t>When many systems, or a system and the controls that check it, use the same underlying model, one blind spot or bias is repeated everywhere at once and independent checks are not independent. Required controls include an inventory that records the base model behind each system, a deliberate choice of a different model or a non-AI method where a check must be independent, and evaluation that looks for errors shared across systems. Adapted from AI Risk Map domain 09 (Third-Party and Model Supply Chain).</t>
        </is>
      </c>
      <c r="K36" s="82" t="n"/>
      <c r="L36" s="82" t="n"/>
      <c r="M36" s="94" t="inlineStr">
        <is>
          <t>E4</t>
        </is>
      </c>
      <c r="N36" s="21">
        <f>IF(COUNTIF(Triage!$E$6:$E$48,"Yes")+COUNTIF(Triage!$E$6:$E$48,"No")=0,"Not triaged",IF(SUMPRODUCT(COUNTIFS(Triage!$A$6:$A$48,{"E4"},Triage!$E$6:$E$48,"Yes"))&gt;0,"Applies","Not triggered"))</f>
        <v/>
      </c>
      <c r="O36" s="82" t="n"/>
      <c r="P36" s="85" t="n"/>
      <c r="Q36" s="85" t="n">
        <v>2</v>
      </c>
      <c r="R36" s="85" t="n">
        <v>3</v>
      </c>
      <c r="S36" s="21">
        <f>IF(OR(Q36="",R36=""),"",Q36*R36)</f>
        <v/>
      </c>
      <c r="T36" s="21">
        <f>IF(S36="","",INDEX(Settings!$A$20:$A$23,MATCH(S36,Settings!$B$20:$B$23,1)))</f>
        <v/>
      </c>
      <c r="U36" s="82" t="inlineStr">
        <is>
          <t>Qualitative (4 x 4)</t>
        </is>
      </c>
      <c r="V36" s="86" t="n"/>
      <c r="W36" s="85" t="n"/>
      <c r="X36" s="82" t="n"/>
      <c r="Y36" s="95" t="inlineStr">
        <is>
          <t>AI-CTRL-011, AI-CTRL-031, AI-CTRL-034</t>
        </is>
      </c>
      <c r="Z36" s="95" t="inlineStr">
        <is>
          <t>AI-CTRL-011</t>
        </is>
      </c>
      <c r="AA36" s="95" t="inlineStr">
        <is>
          <t>Base-model inventory; independent checks on a different model or method; shared-error evaluation</t>
        </is>
      </c>
      <c r="AB36" s="95" t="inlineStr">
        <is>
          <t>Inventory showing base model per system; design records for independent checks; evaluation results</t>
        </is>
      </c>
      <c r="AC36" s="95" t="inlineStr">
        <is>
          <t>A.4.2; A.5.2; A.6.2.4; A.6.2.7; A.7.5; A.9.4; A.10.3</t>
        </is>
      </c>
      <c r="AD36" s="95" t="inlineStr">
        <is>
          <t>A.5.7; A.5.8; A.5.9; A.5.12; A.5.21; A.8.8; A.8.19; A.8.29; A.8.30; A.8.34</t>
        </is>
      </c>
      <c r="AE36" s="95" t="inlineStr">
        <is>
          <t>GOVERN 1.3; GOVERN 1.6; GOVERN 1.7; GOVERN 4.3; GOVERN 6.1; MANAGE 3.1; MANAGE 3.2; MAP 1.1; MAP 4.1; MEASURE 2.1; MEASURE 2.6; MEASURE 2.7</t>
        </is>
      </c>
      <c r="AF36" s="95" t="inlineStr">
        <is>
          <t>LLM01:2025; LLM02:2025; LLM03:2025; LLM04:2025; LLM05:2025; LLM06:2025; LLM07:2025; LLM08:2025; LLM09:2025; LLM10:2025</t>
        </is>
      </c>
      <c r="AG36" s="95" t="inlineStr">
        <is>
          <t>AML.T0010; AML.T0109; AML.T0111; AML.T0115</t>
        </is>
      </c>
      <c r="AH36" s="95" t="inlineStr">
        <is>
          <t>Not checked</t>
        </is>
      </c>
      <c r="AI36" s="95" t="inlineStr">
        <is>
          <t>GV.RM; GV.SC; ID.AM; ID.IM; ID.RA</t>
        </is>
      </c>
      <c r="AJ36" s="96" t="inlineStr">
        <is>
          <t>CIS 1; CIS 2; CIS 7; CIS 15; CIS 16; CIS 18</t>
        </is>
      </c>
      <c r="AK36" s="95" t="inlineStr">
        <is>
          <t>CC3.1; CC3.2; CC4.1; CC7.1; CC9.2</t>
        </is>
      </c>
      <c r="AL36" s="95" t="inlineStr">
        <is>
          <t>Harmful Bias or Homogenization</t>
        </is>
      </c>
      <c r="AM36" s="95" t="inlineStr">
        <is>
          <t>06 Bias and fairness; 09 Foundation-model dependence</t>
        </is>
      </c>
      <c r="AN36" s="95" t="inlineStr">
        <is>
          <t>None</t>
        </is>
      </c>
      <c r="AO36" s="95" t="inlineStr">
        <is>
          <t>None</t>
        </is>
      </c>
      <c r="AP36" s="95" t="inlineStr">
        <is>
          <t>None</t>
        </is>
      </c>
      <c r="AQ36" s="96" t="n">
        <v>3</v>
      </c>
      <c r="AR36" s="96" t="n">
        <v>81</v>
      </c>
      <c r="AS36" s="85" t="n"/>
      <c r="AT36" s="85" t="n"/>
      <c r="AU36" s="21">
        <f>IF(OR(AS36="",AT36=""),"",AS36*AT36)</f>
        <v/>
      </c>
      <c r="AV36" s="21">
        <f>IF(AU36="","",INDEX(Settings!$A$20:$A$23,MATCH(AU36,Settings!$B$20:$B$23,1)))</f>
        <v/>
      </c>
      <c r="AW36" s="21">
        <f>IF(AV36&lt;&gt;"",AV36,T36)</f>
        <v/>
      </c>
      <c r="AX36" s="21">
        <f>IF(AW36="","",IF(MATCH(AW36,Settings!$A$20:$A$23,0)&lt;=MATCH(Settings!$C$28,Settings!$A$20:$A$23,0),"Yes","No"))</f>
        <v/>
      </c>
      <c r="AY36" s="81">
        <f>IF(AW36="","",IF(AX36="Yes",INDEX(Settings!$G$20:$G$23,MATCH(AW36,Settings!$A$20:$A$23,0)),INDEX(Settings!$G$20:$G$23,MATCH(AW36,Settings!$A$20:$A$23,0))&amp;" (outside appetite)"))</f>
        <v/>
      </c>
      <c r="AZ36" s="82" t="n"/>
      <c r="BA36" s="82" t="n"/>
      <c r="BB36" s="89" t="n"/>
      <c r="BC36" s="90">
        <f>IF(OR(BB36="",T36=""),"",BB36+INDEX(Settings!$E$20:$E$23,MATCH(T36,Settings!$A$20:$A$23,0)))</f>
        <v/>
      </c>
      <c r="BD36" s="89" t="n"/>
      <c r="BE36" s="82" t="n"/>
      <c r="BF36" s="81">
        <f>IF(A36="","",IF(OR(BE36="Closed",BE36="Accepted"),"No action",IF(BB36="","Set date identified",IF(TODAY()&gt;BC36,"Deadline exceeded",IF(BC36-TODAY()&lt;=Settings!$C$30,"Deadline approaching","On track")))))</f>
        <v/>
      </c>
      <c r="BG36" s="89" t="n"/>
      <c r="BH36" s="89" t="n"/>
      <c r="BI36" s="90">
        <f>IF(OR(BH36="",AW36=""),"",EDATE(BH36,INDEX(Settings!$F$20:$F$23,MATCH(AW36,Settings!$A$20:$A$23,0))))</f>
        <v/>
      </c>
      <c r="BJ36" s="21">
        <f>IF(T36="","",IF(MAX(IF(T36="",0,MATCH(T36,Settings!$A$20:$A$23,0)),IF(AV36="",0,MATCH(AV36,Settings!$A$20:$A$23,0)))&gt;=MATCH(Settings!$C$29,Settings!$A$20:$A$23,0),"Yes","No"))</f>
        <v/>
      </c>
      <c r="BK36" s="82" t="n"/>
      <c r="BL36" s="81">
        <f>IF(A36="","",IF(TRIM(IF(W36="","Treatment not chosen. ","")&amp;IF(AND(W36="Accept",AX36="No"),"Accepted outside appetite: record approval by "&amp;INDEX(Settings!$G$20:$G$23,MATCH(AW36,Settings!$A$20:$A$23,0))&amp;". ","")&amp;IF(AND(W36="Accept",BG36=""),"Acceptance expiry missing. ","")&amp;IF(AND(BG36&lt;&gt;"",BG36&lt;TODAY()),"Acceptance expired. ","")&amp;IF(AND(W36&lt;&gt;"",W36&lt;&gt;"Accept",AV36=""),"Target rating not set. ","")&amp;IF(AND(BE36="Closed",AX36="No"),"Closed while outside appetite. ","")&amp;IF(AND(W36="Transfer",BE36&lt;&gt;"Transferred",BE36&lt;&gt;"Closed"),"Transfer: record the contract, SLA and audit rights. ","")&amp;IF(AZ36="","Risk owner missing. ","")&amp;IF(K36="","Scenario not written. ",""))="","OK",TRIM(IF(W36="","Treatment not chosen. ","")&amp;IF(AND(W36="Accept",AX36="No"),"Accepted outside appetite: record approval by "&amp;INDEX(Settings!$G$20:$G$23,MATCH(AW36,Settings!$A$20:$A$23,0))&amp;". ","")&amp;IF(AND(W36="Accept",BG36=""),"Acceptance expiry missing. ","")&amp;IF(AND(BG36&lt;&gt;"",BG36&lt;TODAY()),"Acceptance expired. ","")&amp;IF(AND(W36&lt;&gt;"",W36&lt;&gt;"Accept",AV36=""),"Target rating not set. ","")&amp;IF(AND(BE36="Closed",AX36="No"),"Closed while outside appetite. ","")&amp;IF(AND(W36="Transfer",BE36&lt;&gt;"Transferred",BE36&lt;&gt;"Closed"),"Transfer: record the contract, SLA and audit rights. ","")&amp;IF(AZ36="","Risk owner missing. ","")&amp;IF(K36="","Scenario not written. ",""))))</f>
        <v/>
      </c>
      <c r="BM36" s="82" t="inlineStr">
        <is>
          <t>Wiki example ratings: likelihood Medium, impact High, residual Medium, priority 32.</t>
        </is>
      </c>
    </row>
    <row r="37" ht="105" customHeight="1">
      <c r="A37" s="78" t="inlineStr">
        <is>
          <t>AI-R33</t>
        </is>
      </c>
      <c r="B37" s="79" t="inlineStr">
        <is>
          <t>Workforce Deskilling and Loss of Institutional Knowledge</t>
        </is>
      </c>
      <c r="C37" s="80" t="inlineStr">
        <is>
          <t>10</t>
        </is>
      </c>
      <c r="D37" s="81">
        <f>IF(C37="","",IFERROR(INDEX(Lists!$O$2:$O$13,MATCH(C37,Lists!$N$2:$N$13,0)),"Check domain code"))</f>
        <v/>
      </c>
      <c r="E37" s="81">
        <f>IF(C37="","",IFERROR(INDEX(Lists!$P$2:$P$13,MATCH(C37,Lists!$N$2:$N$13,0)),""))</f>
        <v/>
      </c>
      <c r="F37" s="80" t="n"/>
      <c r="G37" s="82" t="inlineStr">
        <is>
          <t>Enterprise-wide (all AI use)</t>
        </is>
      </c>
      <c r="H37" s="82" t="n"/>
      <c r="I37" s="82" t="n"/>
      <c r="J37" s="83" t="inlineStr">
        <is>
          <t>Staff who hand work to AI can lose the expertise needed to check it, knowledge held in people's heads disappears as AI replaces processes, and the organization may be unable to operate when the AI is unavailable. Specialists who leave can take undocumented prompt and model knowledge with them. Required controls include keeping manual competence for critical processes and testing it, documented fallback procedures, and recording prompts, configurations and design decisions as part of the system. Adapted from AI Risk Map domain 10 (Workforce, Human and Societal).</t>
        </is>
      </c>
      <c r="K37" s="82" t="n"/>
      <c r="L37" s="82" t="n"/>
      <c r="M37" s="84" t="inlineStr">
        <is>
          <t>E5</t>
        </is>
      </c>
      <c r="N37" s="21">
        <f>IF(COUNTIF(Triage!$E$6:$E$48,"Yes")+COUNTIF(Triage!$E$6:$E$48,"No")=0,"Not triaged",IF(SUMPRODUCT(COUNTIFS(Triage!$A$6:$A$48,{"E5"},Triage!$E$6:$E$48,"Yes"))&gt;0,"Applies","Not triggered"))</f>
        <v/>
      </c>
      <c r="O37" s="82" t="n"/>
      <c r="P37" s="85" t="n"/>
      <c r="Q37" s="85" t="n">
        <v>2</v>
      </c>
      <c r="R37" s="85" t="n">
        <v>3</v>
      </c>
      <c r="S37" s="21">
        <f>IF(OR(Q37="",R37=""),"",Q37*R37)</f>
        <v/>
      </c>
      <c r="T37" s="21">
        <f>IF(S37="","",INDEX(Settings!$A$20:$A$23,MATCH(S37,Settings!$B$20:$B$23,1)))</f>
        <v/>
      </c>
      <c r="U37" s="82" t="inlineStr">
        <is>
          <t>Qualitative (4 x 4)</t>
        </is>
      </c>
      <c r="V37" s="86" t="n"/>
      <c r="W37" s="85" t="n"/>
      <c r="X37" s="82" t="n"/>
      <c r="Y37" s="87" t="inlineStr">
        <is>
          <t>AI-CTRL-044, AI-CTRL-040, AI-CTRL-045</t>
        </is>
      </c>
      <c r="Z37" s="87" t="inlineStr">
        <is>
          <t>None (all Advanced)</t>
        </is>
      </c>
      <c r="AA37" s="87" t="inlineStr">
        <is>
          <t>Manual competence and fallback; documentation of prompts and configuration</t>
        </is>
      </c>
      <c r="AB37" s="87" t="inlineStr">
        <is>
          <t>Competence records; fallback drill results; system documentation</t>
        </is>
      </c>
      <c r="AC37" s="87" t="inlineStr">
        <is>
          <t>A.4.5; A.4.6; A.6.2.6; A.9.2; A.9.3; Clause 7.2; Clause 7.3</t>
        </is>
      </c>
      <c r="AD37" s="87" t="inlineStr">
        <is>
          <t>A.5.29; A.5.30; A.6.3; A.8.6; A.8.13; A.8.14</t>
        </is>
      </c>
      <c r="AE37" s="87" t="inlineStr">
        <is>
          <t>GOVERN 2.2; GOVERN 3.2; GOVERN 6.2; MANAGE 2.3; MAP 3.4; MAP 3.5; MEASURE 2.7</t>
        </is>
      </c>
      <c r="AF37" s="87" t="inlineStr">
        <is>
          <t>ASI09; LLM06:2025</t>
        </is>
      </c>
      <c r="AG37" s="87" t="inlineStr">
        <is>
          <t>AML.T0029</t>
        </is>
      </c>
      <c r="AH37" s="87" t="inlineStr">
        <is>
          <t>Not checked</t>
        </is>
      </c>
      <c r="AI37" s="87" t="inlineStr">
        <is>
          <t>GV.RR; PR.AT; PR.IR; RC.RP</t>
        </is>
      </c>
      <c r="AJ37" s="88" t="inlineStr">
        <is>
          <t>CIS 11; CIS 14</t>
        </is>
      </c>
      <c r="AK37" s="87" t="inlineStr">
        <is>
          <t>A1.1; A1.2; A1.3; CC1.4; CC2.2; CC9.1</t>
        </is>
      </c>
      <c r="AL37" s="87" t="inlineStr">
        <is>
          <t>None</t>
        </is>
      </c>
      <c r="AM37" s="87" t="inlineStr">
        <is>
          <t>10 Skills and talent; 10 Deskilling and loss of institutional knowledge</t>
        </is>
      </c>
      <c r="AN37" s="87" t="inlineStr">
        <is>
          <t>None</t>
        </is>
      </c>
      <c r="AO37" s="87" t="inlineStr">
        <is>
          <t>None</t>
        </is>
      </c>
      <c r="AP37" s="87" t="inlineStr">
        <is>
          <t>None</t>
        </is>
      </c>
      <c r="AQ37" s="88" t="n">
        <v>2</v>
      </c>
      <c r="AR37" s="88" t="n">
        <v>21</v>
      </c>
      <c r="AS37" s="85" t="n"/>
      <c r="AT37" s="85" t="n"/>
      <c r="AU37" s="21">
        <f>IF(OR(AS37="",AT37=""),"",AS37*AT37)</f>
        <v/>
      </c>
      <c r="AV37" s="21">
        <f>IF(AU37="","",INDEX(Settings!$A$20:$A$23,MATCH(AU37,Settings!$B$20:$B$23,1)))</f>
        <v/>
      </c>
      <c r="AW37" s="21">
        <f>IF(AV37&lt;&gt;"",AV37,T37)</f>
        <v/>
      </c>
      <c r="AX37" s="21">
        <f>IF(AW37="","",IF(MATCH(AW37,Settings!$A$20:$A$23,0)&lt;=MATCH(Settings!$C$28,Settings!$A$20:$A$23,0),"Yes","No"))</f>
        <v/>
      </c>
      <c r="AY37" s="81">
        <f>IF(AW37="","",IF(AX37="Yes",INDEX(Settings!$G$20:$G$23,MATCH(AW37,Settings!$A$20:$A$23,0)),INDEX(Settings!$G$20:$G$23,MATCH(AW37,Settings!$A$20:$A$23,0))&amp;" (outside appetite)"))</f>
        <v/>
      </c>
      <c r="AZ37" s="82" t="n"/>
      <c r="BA37" s="82" t="n"/>
      <c r="BB37" s="89" t="n"/>
      <c r="BC37" s="90">
        <f>IF(OR(BB37="",T37=""),"",BB37+INDEX(Settings!$E$20:$E$23,MATCH(T37,Settings!$A$20:$A$23,0)))</f>
        <v/>
      </c>
      <c r="BD37" s="89" t="n"/>
      <c r="BE37" s="82" t="n"/>
      <c r="BF37" s="81">
        <f>IF(A37="","",IF(OR(BE37="Closed",BE37="Accepted"),"No action",IF(BB37="","Set date identified",IF(TODAY()&gt;BC37,"Deadline exceeded",IF(BC37-TODAY()&lt;=Settings!$C$30,"Deadline approaching","On track")))))</f>
        <v/>
      </c>
      <c r="BG37" s="89" t="n"/>
      <c r="BH37" s="89" t="n"/>
      <c r="BI37" s="90">
        <f>IF(OR(BH37="",AW37=""),"",EDATE(BH37,INDEX(Settings!$F$20:$F$23,MATCH(AW37,Settings!$A$20:$A$23,0))))</f>
        <v/>
      </c>
      <c r="BJ37" s="21">
        <f>IF(T37="","",IF(MAX(IF(T37="",0,MATCH(T37,Settings!$A$20:$A$23,0)),IF(AV37="",0,MATCH(AV37,Settings!$A$20:$A$23,0)))&gt;=MATCH(Settings!$C$29,Settings!$A$20:$A$23,0),"Yes","No"))</f>
        <v/>
      </c>
      <c r="BK37" s="82" t="n"/>
      <c r="BL37" s="81">
        <f>IF(A37="","",IF(TRIM(IF(W37="","Treatment not chosen. ","")&amp;IF(AND(W37="Accept",AX37="No"),"Accepted outside appetite: record approval by "&amp;INDEX(Settings!$G$20:$G$23,MATCH(AW37,Settings!$A$20:$A$23,0))&amp;". ","")&amp;IF(AND(W37="Accept",BG37=""),"Acceptance expiry missing. ","")&amp;IF(AND(BG37&lt;&gt;"",BG37&lt;TODAY()),"Acceptance expired. ","")&amp;IF(AND(W37&lt;&gt;"",W37&lt;&gt;"Accept",AV37=""),"Target rating not set. ","")&amp;IF(AND(BE37="Closed",AX37="No"),"Closed while outside appetite. ","")&amp;IF(AND(W37="Transfer",BE37&lt;&gt;"Transferred",BE37&lt;&gt;"Closed"),"Transfer: record the contract, SLA and audit rights. ","")&amp;IF(AZ37="","Risk owner missing. ","")&amp;IF(K37="","Scenario not written. ",""))="","OK",TRIM(IF(W37="","Treatment not chosen. ","")&amp;IF(AND(W37="Accept",AX37="No"),"Accepted outside appetite: record approval by "&amp;INDEX(Settings!$G$20:$G$23,MATCH(AW37,Settings!$A$20:$A$23,0))&amp;". ","")&amp;IF(AND(W37="Accept",BG37=""),"Acceptance expiry missing. ","")&amp;IF(AND(BG37&lt;&gt;"",BG37&lt;TODAY()),"Acceptance expired. ","")&amp;IF(AND(W37&lt;&gt;"",W37&lt;&gt;"Accept",AV37=""),"Target rating not set. ","")&amp;IF(AND(BE37="Closed",AX37="No"),"Closed while outside appetite. ","")&amp;IF(AND(W37="Transfer",BE37&lt;&gt;"Transferred",BE37&lt;&gt;"Closed"),"Transfer: record the contract, SLA and audit rights. ","")&amp;IF(AZ37="","Risk owner missing. ","")&amp;IF(K37="","Scenario not written. ",""))))</f>
        <v/>
      </c>
      <c r="BM37" s="82" t="inlineStr">
        <is>
          <t>Wiki example ratings: likelihood Medium, impact High, residual Medium, priority 33.</t>
        </is>
      </c>
    </row>
    <row r="38" ht="105" customHeight="1">
      <c r="A38" s="91" t="inlineStr">
        <is>
          <t>AI-R34</t>
        </is>
      </c>
      <c r="B38" s="92" t="inlineStr">
        <is>
          <t>Workforce Change Failure and Skills Shortage</t>
        </is>
      </c>
      <c r="C38" s="80" t="inlineStr">
        <is>
          <t>10</t>
        </is>
      </c>
      <c r="D38" s="81">
        <f>IF(C38="","",IFERROR(INDEX(Lists!$O$2:$O$13,MATCH(C38,Lists!$N$2:$N$13,0)),"Check domain code"))</f>
        <v/>
      </c>
      <c r="E38" s="81">
        <f>IF(C38="","",IFERROR(INDEX(Lists!$P$2:$P$13,MATCH(C38,Lists!$N$2:$N$13,0)),""))</f>
        <v/>
      </c>
      <c r="F38" s="80" t="n"/>
      <c r="G38" s="82" t="inlineStr">
        <is>
          <t>Enterprise-wide (all AI use)</t>
        </is>
      </c>
      <c r="H38" s="82" t="n"/>
      <c r="I38" s="82" t="n"/>
      <c r="J38" s="93" t="inlineStr">
        <is>
          <t>Leaders may manage AI like a conventional IT rollout and underestimate how much it changes the work itself, staff may resist or quietly avoid AI because of fear of displacement or distrust of its output, and AI and AI-risk specialists are scarce. Required controls include a change plan for each significant deployment, consultation with affected staff, adoption and trust measures, and AI literacy and role-based training. Adapted from AI Risk Map domain 10 (Workforce, Human and Societal).</t>
        </is>
      </c>
      <c r="K38" s="82" t="n"/>
      <c r="L38" s="82" t="n"/>
      <c r="M38" s="94" t="inlineStr">
        <is>
          <t>E5</t>
        </is>
      </c>
      <c r="N38" s="21">
        <f>IF(COUNTIF(Triage!$E$6:$E$48,"Yes")+COUNTIF(Triage!$E$6:$E$48,"No")=0,"Not triaged",IF(SUMPRODUCT(COUNTIFS(Triage!$A$6:$A$48,{"E5"},Triage!$E$6:$E$48,"Yes"))&gt;0,"Applies","Not triggered"))</f>
        <v/>
      </c>
      <c r="O38" s="82" t="n"/>
      <c r="P38" s="85" t="n"/>
      <c r="Q38" s="85" t="n">
        <v>2</v>
      </c>
      <c r="R38" s="85" t="n">
        <v>2</v>
      </c>
      <c r="S38" s="21">
        <f>IF(OR(Q38="",R38=""),"",Q38*R38)</f>
        <v/>
      </c>
      <c r="T38" s="21">
        <f>IF(S38="","",INDEX(Settings!$A$20:$A$23,MATCH(S38,Settings!$B$20:$B$23,1)))</f>
        <v/>
      </c>
      <c r="U38" s="82" t="inlineStr">
        <is>
          <t>Qualitative (4 x 4)</t>
        </is>
      </c>
      <c r="V38" s="86" t="n"/>
      <c r="W38" s="85" t="n"/>
      <c r="X38" s="82" t="n"/>
      <c r="Y38" s="95" t="inlineStr">
        <is>
          <t>AI-CTRL-044, AI-CTRL-012</t>
        </is>
      </c>
      <c r="Z38" s="95" t="inlineStr">
        <is>
          <t>AI-CTRL-012</t>
        </is>
      </c>
      <c r="AA38" s="95" t="inlineStr">
        <is>
          <t>Change planning; staff consultation; literacy and role-based training</t>
        </is>
      </c>
      <c r="AB38" s="95" t="inlineStr">
        <is>
          <t>Change plans; consultation records; training completion; adoption measures</t>
        </is>
      </c>
      <c r="AC38" s="95" t="inlineStr">
        <is>
          <t>A.2.2; A.2.3; A.2.4; A.3.2; A.4.6; Clause 7.2; Clause 7.3</t>
        </is>
      </c>
      <c r="AD38" s="95" t="inlineStr">
        <is>
          <t>A.5.1; A.5.2; A.5.4; A.5.10; A.6.2; A.6.3; A.6.4</t>
        </is>
      </c>
      <c r="AE38" s="95" t="inlineStr">
        <is>
          <t>GOVERN 1.2; GOVERN 1.4; GOVERN 2.1; GOVERN 2.2; MAP 3.4</t>
        </is>
      </c>
      <c r="AF38" s="95" t="inlineStr"/>
      <c r="AG38" s="95" t="inlineStr"/>
      <c r="AH38" s="95" t="inlineStr">
        <is>
          <t>Not checked</t>
        </is>
      </c>
      <c r="AI38" s="95" t="inlineStr">
        <is>
          <t>GV.PO; GV.RR; PR.AT</t>
        </is>
      </c>
      <c r="AJ38" s="96" t="inlineStr">
        <is>
          <t>CIS 14</t>
        </is>
      </c>
      <c r="AK38" s="95" t="inlineStr">
        <is>
          <t>CC1.3; CC1.4; CC2.2; CC5.3</t>
        </is>
      </c>
      <c r="AL38" s="95" t="inlineStr">
        <is>
          <t>None</t>
        </is>
      </c>
      <c r="AM38" s="95" t="inlineStr">
        <is>
          <t>10 Skills and talent; 10 Workforce disruption / change</t>
        </is>
      </c>
      <c r="AN38" s="95" t="inlineStr">
        <is>
          <t>None</t>
        </is>
      </c>
      <c r="AO38" s="95" t="inlineStr">
        <is>
          <t>None</t>
        </is>
      </c>
      <c r="AP38" s="95" t="inlineStr">
        <is>
          <t>None</t>
        </is>
      </c>
      <c r="AQ38" s="96" t="n">
        <v>2</v>
      </c>
      <c r="AR38" s="96" t="n">
        <v>10</v>
      </c>
      <c r="AS38" s="85" t="n"/>
      <c r="AT38" s="85" t="n"/>
      <c r="AU38" s="21">
        <f>IF(OR(AS38="",AT38=""),"",AS38*AT38)</f>
        <v/>
      </c>
      <c r="AV38" s="21">
        <f>IF(AU38="","",INDEX(Settings!$A$20:$A$23,MATCH(AU38,Settings!$B$20:$B$23,1)))</f>
        <v/>
      </c>
      <c r="AW38" s="21">
        <f>IF(AV38&lt;&gt;"",AV38,T38)</f>
        <v/>
      </c>
      <c r="AX38" s="21">
        <f>IF(AW38="","",IF(MATCH(AW38,Settings!$A$20:$A$23,0)&lt;=MATCH(Settings!$C$28,Settings!$A$20:$A$23,0),"Yes","No"))</f>
        <v/>
      </c>
      <c r="AY38" s="81">
        <f>IF(AW38="","",IF(AX38="Yes",INDEX(Settings!$G$20:$G$23,MATCH(AW38,Settings!$A$20:$A$23,0)),INDEX(Settings!$G$20:$G$23,MATCH(AW38,Settings!$A$20:$A$23,0))&amp;" (outside appetite)"))</f>
        <v/>
      </c>
      <c r="AZ38" s="82" t="n"/>
      <c r="BA38" s="82" t="n"/>
      <c r="BB38" s="89" t="n"/>
      <c r="BC38" s="90">
        <f>IF(OR(BB38="",T38=""),"",BB38+INDEX(Settings!$E$20:$E$23,MATCH(T38,Settings!$A$20:$A$23,0)))</f>
        <v/>
      </c>
      <c r="BD38" s="89" t="n"/>
      <c r="BE38" s="82" t="n"/>
      <c r="BF38" s="81">
        <f>IF(A38="","",IF(OR(BE38="Closed",BE38="Accepted"),"No action",IF(BB38="","Set date identified",IF(TODAY()&gt;BC38,"Deadline exceeded",IF(BC38-TODAY()&lt;=Settings!$C$30,"Deadline approaching","On track")))))</f>
        <v/>
      </c>
      <c r="BG38" s="89" t="n"/>
      <c r="BH38" s="89" t="n"/>
      <c r="BI38" s="90">
        <f>IF(OR(BH38="",AW38=""),"",EDATE(BH38,INDEX(Settings!$F$20:$F$23,MATCH(AW38,Settings!$A$20:$A$23,0))))</f>
        <v/>
      </c>
      <c r="BJ38" s="21">
        <f>IF(T38="","",IF(MAX(IF(T38="",0,MATCH(T38,Settings!$A$20:$A$23,0)),IF(AV38="",0,MATCH(AV38,Settings!$A$20:$A$23,0)))&gt;=MATCH(Settings!$C$29,Settings!$A$20:$A$23,0),"Yes","No"))</f>
        <v/>
      </c>
      <c r="BK38" s="82" t="n"/>
      <c r="BL38" s="81">
        <f>IF(A38="","",IF(TRIM(IF(W38="","Treatment not chosen. ","")&amp;IF(AND(W38="Accept",AX38="No"),"Accepted outside appetite: record approval by "&amp;INDEX(Settings!$G$20:$G$23,MATCH(AW38,Settings!$A$20:$A$23,0))&amp;". ","")&amp;IF(AND(W38="Accept",BG38=""),"Acceptance expiry missing. ","")&amp;IF(AND(BG38&lt;&gt;"",BG38&lt;TODAY()),"Acceptance expired. ","")&amp;IF(AND(W38&lt;&gt;"",W38&lt;&gt;"Accept",AV38=""),"Target rating not set. ","")&amp;IF(AND(BE38="Closed",AX38="No"),"Closed while outside appetite. ","")&amp;IF(AND(W38="Transfer",BE38&lt;&gt;"Transferred",BE38&lt;&gt;"Closed"),"Transfer: record the contract, SLA and audit rights. ","")&amp;IF(AZ38="","Risk owner missing. ","")&amp;IF(K38="","Scenario not written. ",""))="","OK",TRIM(IF(W38="","Treatment not chosen. ","")&amp;IF(AND(W38="Accept",AX38="No"),"Accepted outside appetite: record approval by "&amp;INDEX(Settings!$G$20:$G$23,MATCH(AW38,Settings!$A$20:$A$23,0))&amp;". ","")&amp;IF(AND(W38="Accept",BG38=""),"Acceptance expiry missing. ","")&amp;IF(AND(BG38&lt;&gt;"",BG38&lt;TODAY()),"Acceptance expired. ","")&amp;IF(AND(W38&lt;&gt;"",W38&lt;&gt;"Accept",AV38=""),"Target rating not set. ","")&amp;IF(AND(BE38="Closed",AX38="No"),"Closed while outside appetite. ","")&amp;IF(AND(W38="Transfer",BE38&lt;&gt;"Transferred",BE38&lt;&gt;"Closed"),"Transfer: record the contract, SLA and audit rights. ","")&amp;IF(AZ38="","Risk owner missing. ","")&amp;IF(K38="","Scenario not written. ",""))))</f>
        <v/>
      </c>
      <c r="BM38" s="82" t="inlineStr">
        <is>
          <t>Wiki example ratings: likelihood Medium, impact Medium, residual Medium, priority 34.</t>
        </is>
      </c>
    </row>
    <row r="39" ht="105" customHeight="1">
      <c r="A39" s="78" t="inlineStr">
        <is>
          <t>AI-R35</t>
        </is>
      </c>
      <c r="B39" s="79" t="inlineStr">
        <is>
          <t>Unmeasured Energy and Water Use of AI</t>
        </is>
      </c>
      <c r="C39" s="80" t="inlineStr">
        <is>
          <t>11</t>
        </is>
      </c>
      <c r="D39" s="81">
        <f>IF(C39="","",IFERROR(INDEX(Lists!$O$2:$O$13,MATCH(C39,Lists!$N$2:$N$13,0)),"Check domain code"))</f>
        <v/>
      </c>
      <c r="E39" s="81">
        <f>IF(C39="","",IFERROR(INDEX(Lists!$P$2:$P$13,MATCH(C39,Lists!$N$2:$N$13,0)),""))</f>
        <v/>
      </c>
      <c r="F39" s="80" t="n"/>
      <c r="G39" s="82" t="inlineStr">
        <is>
          <t>Enterprise-wide (all AI use)</t>
        </is>
      </c>
      <c r="H39" s="82" t="n"/>
      <c r="I39" s="82" t="n"/>
      <c r="J39" s="83" t="inlineStr">
        <is>
          <t>Training and inference use energy and, in many data centres, water for cooling, and these are rarely measured or weighed against the value of a use case. This can conflict with an organization's sustainability commitments and reporting. Required controls include an estimate of energy use per system from usage data and provider information, its inclusion in the use-case decision, and reporting where sustainability commitments require it. Adapted from AI Risk Map domain 11 (Financial and Resource).</t>
        </is>
      </c>
      <c r="K39" s="82" t="n"/>
      <c r="L39" s="82" t="n"/>
      <c r="M39" s="84" t="inlineStr">
        <is>
          <t>E2</t>
        </is>
      </c>
      <c r="N39" s="21">
        <f>IF(COUNTIF(Triage!$E$6:$E$48,"Yes")+COUNTIF(Triage!$E$6:$E$48,"No")=0,"Not triaged",IF(SUMPRODUCT(COUNTIFS(Triage!$A$6:$A$48,{"E2"},Triage!$E$6:$E$48,"Yes"))&gt;0,"Applies","Not triggered"))</f>
        <v/>
      </c>
      <c r="O39" s="82" t="n"/>
      <c r="P39" s="85" t="n"/>
      <c r="Q39" s="85" t="n">
        <v>3</v>
      </c>
      <c r="R39" s="85" t="n">
        <v>2</v>
      </c>
      <c r="S39" s="21">
        <f>IF(OR(Q39="",R39=""),"",Q39*R39)</f>
        <v/>
      </c>
      <c r="T39" s="21">
        <f>IF(S39="","",INDEX(Settings!$A$20:$A$23,MATCH(S39,Settings!$B$20:$B$23,1)))</f>
        <v/>
      </c>
      <c r="U39" s="82" t="inlineStr">
        <is>
          <t>Qualitative (4 x 4)</t>
        </is>
      </c>
      <c r="V39" s="86" t="n"/>
      <c r="W39" s="85" t="n"/>
      <c r="X39" s="82" t="n"/>
      <c r="Y39" s="87" t="inlineStr">
        <is>
          <t>AI-CTRL-036</t>
        </is>
      </c>
      <c r="Z39" s="87" t="inlineStr">
        <is>
          <t>AI-CTRL-036</t>
        </is>
      </c>
      <c r="AA39" s="87" t="inlineStr">
        <is>
          <t>Usage attribution as the basis for an energy estimate</t>
        </is>
      </c>
      <c r="AB39" s="87" t="inlineStr">
        <is>
          <t>Energy estimates per system; sustainability reporting inputs</t>
        </is>
      </c>
      <c r="AC39" s="87" t="inlineStr">
        <is>
          <t>A.4.5</t>
        </is>
      </c>
      <c r="AD39" s="87" t="inlineStr">
        <is>
          <t>A.8.6; A.8.16</t>
        </is>
      </c>
      <c r="AE39" s="87" t="inlineStr">
        <is>
          <t>MANAGE 4.1; MEASURE 2.7</t>
        </is>
      </c>
      <c r="AF39" s="87" t="inlineStr">
        <is>
          <t>LLM10:2025</t>
        </is>
      </c>
      <c r="AG39" s="87" t="inlineStr">
        <is>
          <t>AML.T0029; AML.T0034; AML.T0046</t>
        </is>
      </c>
      <c r="AH39" s="87" t="inlineStr">
        <is>
          <t>Not checked</t>
        </is>
      </c>
      <c r="AI39" s="87" t="inlineStr">
        <is>
          <t>DE.CM; PR.IR</t>
        </is>
      </c>
      <c r="AJ39" s="88" t="inlineStr"/>
      <c r="AK39" s="87" t="inlineStr">
        <is>
          <t>A1.1</t>
        </is>
      </c>
      <c r="AL39" s="87" t="inlineStr">
        <is>
          <t>Environmental Impacts</t>
        </is>
      </c>
      <c r="AM39" s="87" t="inlineStr">
        <is>
          <t>11 Cost and compute economics</t>
        </is>
      </c>
      <c r="AN39" s="87" t="inlineStr">
        <is>
          <t>None</t>
        </is>
      </c>
      <c r="AO39" s="87" t="inlineStr">
        <is>
          <t>None</t>
        </is>
      </c>
      <c r="AP39" s="87" t="inlineStr">
        <is>
          <t>None</t>
        </is>
      </c>
      <c r="AQ39" s="88" t="n">
        <v>2</v>
      </c>
      <c r="AR39" s="88" t="n">
        <v>30</v>
      </c>
      <c r="AS39" s="85" t="n"/>
      <c r="AT39" s="85" t="n"/>
      <c r="AU39" s="21">
        <f>IF(OR(AS39="",AT39=""),"",AS39*AT39)</f>
        <v/>
      </c>
      <c r="AV39" s="21">
        <f>IF(AU39="","",INDEX(Settings!$A$20:$A$23,MATCH(AU39,Settings!$B$20:$B$23,1)))</f>
        <v/>
      </c>
      <c r="AW39" s="21">
        <f>IF(AV39&lt;&gt;"",AV39,T39)</f>
        <v/>
      </c>
      <c r="AX39" s="21">
        <f>IF(AW39="","",IF(MATCH(AW39,Settings!$A$20:$A$23,0)&lt;=MATCH(Settings!$C$28,Settings!$A$20:$A$23,0),"Yes","No"))</f>
        <v/>
      </c>
      <c r="AY39" s="81">
        <f>IF(AW39="","",IF(AX39="Yes",INDEX(Settings!$G$20:$G$23,MATCH(AW39,Settings!$A$20:$A$23,0)),INDEX(Settings!$G$20:$G$23,MATCH(AW39,Settings!$A$20:$A$23,0))&amp;" (outside appetite)"))</f>
        <v/>
      </c>
      <c r="AZ39" s="82" t="n"/>
      <c r="BA39" s="82" t="n"/>
      <c r="BB39" s="89" t="n"/>
      <c r="BC39" s="90">
        <f>IF(OR(BB39="",T39=""),"",BB39+INDEX(Settings!$E$20:$E$23,MATCH(T39,Settings!$A$20:$A$23,0)))</f>
        <v/>
      </c>
      <c r="BD39" s="89" t="n"/>
      <c r="BE39" s="82" t="n"/>
      <c r="BF39" s="81">
        <f>IF(A39="","",IF(OR(BE39="Closed",BE39="Accepted"),"No action",IF(BB39="","Set date identified",IF(TODAY()&gt;BC39,"Deadline exceeded",IF(BC39-TODAY()&lt;=Settings!$C$30,"Deadline approaching","On track")))))</f>
        <v/>
      </c>
      <c r="BG39" s="89" t="n"/>
      <c r="BH39" s="89" t="n"/>
      <c r="BI39" s="90">
        <f>IF(OR(BH39="",AW39=""),"",EDATE(BH39,INDEX(Settings!$F$20:$F$23,MATCH(AW39,Settings!$A$20:$A$23,0))))</f>
        <v/>
      </c>
      <c r="BJ39" s="21">
        <f>IF(T39="","",IF(MAX(IF(T39="",0,MATCH(T39,Settings!$A$20:$A$23,0)),IF(AV39="",0,MATCH(AV39,Settings!$A$20:$A$23,0)))&gt;=MATCH(Settings!$C$29,Settings!$A$20:$A$23,0),"Yes","No"))</f>
        <v/>
      </c>
      <c r="BK39" s="82" t="n"/>
      <c r="BL39" s="81">
        <f>IF(A39="","",IF(TRIM(IF(W39="","Treatment not chosen. ","")&amp;IF(AND(W39="Accept",AX39="No"),"Accepted outside appetite: record approval by "&amp;INDEX(Settings!$G$20:$G$23,MATCH(AW39,Settings!$A$20:$A$23,0))&amp;". ","")&amp;IF(AND(W39="Accept",BG39=""),"Acceptance expiry missing. ","")&amp;IF(AND(BG39&lt;&gt;"",BG39&lt;TODAY()),"Acceptance expired. ","")&amp;IF(AND(W39&lt;&gt;"",W39&lt;&gt;"Accept",AV39=""),"Target rating not set. ","")&amp;IF(AND(BE39="Closed",AX39="No"),"Closed while outside appetite. ","")&amp;IF(AND(W39="Transfer",BE39&lt;&gt;"Transferred",BE39&lt;&gt;"Closed"),"Transfer: record the contract, SLA and audit rights. ","")&amp;IF(AZ39="","Risk owner missing. ","")&amp;IF(K39="","Scenario not written. ",""))="","OK",TRIM(IF(W39="","Treatment not chosen. ","")&amp;IF(AND(W39="Accept",AX39="No"),"Accepted outside appetite: record approval by "&amp;INDEX(Settings!$G$20:$G$23,MATCH(AW39,Settings!$A$20:$A$23,0))&amp;". ","")&amp;IF(AND(W39="Accept",BG39=""),"Acceptance expiry missing. ","")&amp;IF(AND(BG39&lt;&gt;"",BG39&lt;TODAY()),"Acceptance expired. ","")&amp;IF(AND(W39&lt;&gt;"",W39&lt;&gt;"Accept",AV39=""),"Target rating not set. ","")&amp;IF(AND(BE39="Closed",AX39="No"),"Closed while outside appetite. ","")&amp;IF(AND(W39="Transfer",BE39&lt;&gt;"Transferred",BE39&lt;&gt;"Closed"),"Transfer: record the contract, SLA and audit rights. ","")&amp;IF(AZ39="","Risk owner missing. ","")&amp;IF(K39="","Scenario not written. ",""))))</f>
        <v/>
      </c>
      <c r="BM39" s="82" t="inlineStr">
        <is>
          <t>Wiki example ratings: likelihood High, impact Medium, residual Medium, priority 35.</t>
        </is>
      </c>
    </row>
    <row r="40" ht="105" customHeight="1">
      <c r="A40" s="91" t="inlineStr">
        <is>
          <t>AI-R36</t>
        </is>
      </c>
      <c r="B40" s="92" t="inlineStr">
        <is>
          <t>AI Output Ownership and Model Licence Breach</t>
        </is>
      </c>
      <c r="C40" s="80" t="inlineStr">
        <is>
          <t>08</t>
        </is>
      </c>
      <c r="D40" s="81">
        <f>IF(C40="","",IFERROR(INDEX(Lists!$O$2:$O$13,MATCH(C40,Lists!$N$2:$N$13,0)),"Check domain code"))</f>
        <v/>
      </c>
      <c r="E40" s="81">
        <f>IF(C40="","",IFERROR(INDEX(Lists!$P$2:$P$13,MATCH(C40,Lists!$N$2:$N$13,0)),""))</f>
        <v/>
      </c>
      <c r="F40" s="80" t="n"/>
      <c r="G40" s="82" t="inlineStr">
        <is>
          <t>Enterprise-wide (all AI use)</t>
        </is>
      </c>
      <c r="H40" s="82" t="n"/>
      <c r="I40" s="82" t="n"/>
      <c r="J40" s="93" t="inlineStr">
        <is>
          <t>Who owns AI-generated content, and whether it can be protected by copyright at all, is unsettled in many jurisdictions. Open-weight models come with licences that may restrict commercial use, user numbers, fields of use or the training of other models, and those terms can be breached without anyone noticing. AI-R27 covers infringing the rights of others; this risk covers the organization's own rights and licence obligations. Required controls include a register of model licences and their conditions, review of output ownership in vendor terms, and legal advice before relying on ownership of AI-generated assets. Adapted from AI Risk Map domain 08 (Legal, Regulatory and Compliance).</t>
        </is>
      </c>
      <c r="K40" s="82" t="n"/>
      <c r="L40" s="82" t="n"/>
      <c r="M40" s="94" t="inlineStr">
        <is>
          <t>E6</t>
        </is>
      </c>
      <c r="N40" s="21">
        <f>IF(COUNTIF(Triage!$E$6:$E$48,"Yes")+COUNTIF(Triage!$E$6:$E$48,"No")=0,"Not triaged",IF(SUMPRODUCT(COUNTIFS(Triage!$A$6:$A$48,{"E6"},Triage!$E$6:$E$48,"Yes"))&gt;0,"Applies","Not triggered"))</f>
        <v/>
      </c>
      <c r="O40" s="82" t="n"/>
      <c r="P40" s="85" t="n"/>
      <c r="Q40" s="85" t="n">
        <v>2</v>
      </c>
      <c r="R40" s="85" t="n">
        <v>3</v>
      </c>
      <c r="S40" s="21">
        <f>IF(OR(Q40="",R40=""),"",Q40*R40)</f>
        <v/>
      </c>
      <c r="T40" s="21">
        <f>IF(S40="","",INDEX(Settings!$A$20:$A$23,MATCH(S40,Settings!$B$20:$B$23,1)))</f>
        <v/>
      </c>
      <c r="U40" s="82" t="inlineStr">
        <is>
          <t>Qualitative (4 x 4)</t>
        </is>
      </c>
      <c r="V40" s="86" t="n"/>
      <c r="W40" s="85" t="n"/>
      <c r="X40" s="82" t="n"/>
      <c r="Y40" s="95" t="inlineStr">
        <is>
          <t>AI-CTRL-046, AI-CTRL-031, AI-CTRL-014</t>
        </is>
      </c>
      <c r="Z40" s="95" t="inlineStr">
        <is>
          <t>AI-CTRL-014</t>
        </is>
      </c>
      <c r="AA40" s="95" t="inlineStr">
        <is>
          <t>Model licence register; output ownership terms; legal review</t>
        </is>
      </c>
      <c r="AB40" s="95" t="inlineStr">
        <is>
          <t>Licence register; vendor terms review; legal advice records</t>
        </is>
      </c>
      <c r="AC40" s="95" t="inlineStr">
        <is>
          <t>A.4.2; A.6.2.7; A.7.5; A.10.2; A.10.3</t>
        </is>
      </c>
      <c r="AD40" s="95" t="inlineStr">
        <is>
          <t>A.5.9; A.5.11; A.5.19; A.5.20; A.5.21; A.5.22; A.5.23; A.5.31; A.5.32; A.8.8; A.8.19; A.8.30</t>
        </is>
      </c>
      <c r="AE40" s="95" t="inlineStr">
        <is>
          <t>GOVERN 6.1; GOVERN 6.2; MANAGE 3.1; MANAGE 3.2; MAP 4.1</t>
        </is>
      </c>
      <c r="AF40" s="95" t="inlineStr">
        <is>
          <t>LLM03:2025</t>
        </is>
      </c>
      <c r="AG40" s="95" t="inlineStr">
        <is>
          <t>AML.T0010; AML.T0109; AML.T0111; AML.T0115</t>
        </is>
      </c>
      <c r="AH40" s="95" t="inlineStr">
        <is>
          <t>Not checked</t>
        </is>
      </c>
      <c r="AI40" s="95" t="inlineStr">
        <is>
          <t>GV.OC; GV.SC; ID.AM; ID.RA</t>
        </is>
      </c>
      <c r="AJ40" s="96" t="inlineStr">
        <is>
          <t>CIS 2; CIS 7; CIS 15; CIS 16</t>
        </is>
      </c>
      <c r="AK40" s="95" t="inlineStr">
        <is>
          <t>CC7.1; CC9.2</t>
        </is>
      </c>
      <c r="AL40" s="95" t="inlineStr">
        <is>
          <t>None</t>
        </is>
      </c>
      <c r="AM40" s="95" t="inlineStr">
        <is>
          <t>03 Training-data rights and IP; 08 IP and liability; 08 Contractual and licensing</t>
        </is>
      </c>
      <c r="AN40" s="95" t="inlineStr">
        <is>
          <t>None</t>
        </is>
      </c>
      <c r="AO40" s="95" t="inlineStr">
        <is>
          <t>None</t>
        </is>
      </c>
      <c r="AP40" s="95" t="inlineStr">
        <is>
          <t>None</t>
        </is>
      </c>
      <c r="AQ40" s="96" t="n">
        <v>3</v>
      </c>
      <c r="AR40" s="96" t="n">
        <v>54</v>
      </c>
      <c r="AS40" s="85" t="n"/>
      <c r="AT40" s="85" t="n"/>
      <c r="AU40" s="21">
        <f>IF(OR(AS40="",AT40=""),"",AS40*AT40)</f>
        <v/>
      </c>
      <c r="AV40" s="21">
        <f>IF(AU40="","",INDEX(Settings!$A$20:$A$23,MATCH(AU40,Settings!$B$20:$B$23,1)))</f>
        <v/>
      </c>
      <c r="AW40" s="21">
        <f>IF(AV40&lt;&gt;"",AV40,T40)</f>
        <v/>
      </c>
      <c r="AX40" s="21">
        <f>IF(AW40="","",IF(MATCH(AW40,Settings!$A$20:$A$23,0)&lt;=MATCH(Settings!$C$28,Settings!$A$20:$A$23,0),"Yes","No"))</f>
        <v/>
      </c>
      <c r="AY40" s="81">
        <f>IF(AW40="","",IF(AX40="Yes",INDEX(Settings!$G$20:$G$23,MATCH(AW40,Settings!$A$20:$A$23,0)),INDEX(Settings!$G$20:$G$23,MATCH(AW40,Settings!$A$20:$A$23,0))&amp;" (outside appetite)"))</f>
        <v/>
      </c>
      <c r="AZ40" s="82" t="n"/>
      <c r="BA40" s="82" t="n"/>
      <c r="BB40" s="89" t="n"/>
      <c r="BC40" s="90">
        <f>IF(OR(BB40="",T40=""),"",BB40+INDEX(Settings!$E$20:$E$23,MATCH(T40,Settings!$A$20:$A$23,0)))</f>
        <v/>
      </c>
      <c r="BD40" s="89" t="n"/>
      <c r="BE40" s="82" t="n"/>
      <c r="BF40" s="81">
        <f>IF(A40="","",IF(OR(BE40="Closed",BE40="Accepted"),"No action",IF(BB40="","Set date identified",IF(TODAY()&gt;BC40,"Deadline exceeded",IF(BC40-TODAY()&lt;=Settings!$C$30,"Deadline approaching","On track")))))</f>
        <v/>
      </c>
      <c r="BG40" s="89" t="n"/>
      <c r="BH40" s="89" t="n"/>
      <c r="BI40" s="90">
        <f>IF(OR(BH40="",AW40=""),"",EDATE(BH40,INDEX(Settings!$F$20:$F$23,MATCH(AW40,Settings!$A$20:$A$23,0))))</f>
        <v/>
      </c>
      <c r="BJ40" s="21">
        <f>IF(T40="","",IF(MAX(IF(T40="",0,MATCH(T40,Settings!$A$20:$A$23,0)),IF(AV40="",0,MATCH(AV40,Settings!$A$20:$A$23,0)))&gt;=MATCH(Settings!$C$29,Settings!$A$20:$A$23,0),"Yes","No"))</f>
        <v/>
      </c>
      <c r="BK40" s="82" t="n"/>
      <c r="BL40" s="81">
        <f>IF(A40="","",IF(TRIM(IF(W40="","Treatment not chosen. ","")&amp;IF(AND(W40="Accept",AX40="No"),"Accepted outside appetite: record approval by "&amp;INDEX(Settings!$G$20:$G$23,MATCH(AW40,Settings!$A$20:$A$23,0))&amp;". ","")&amp;IF(AND(W40="Accept",BG40=""),"Acceptance expiry missing. ","")&amp;IF(AND(BG40&lt;&gt;"",BG40&lt;TODAY()),"Acceptance expired. ","")&amp;IF(AND(W40&lt;&gt;"",W40&lt;&gt;"Accept",AV40=""),"Target rating not set. ","")&amp;IF(AND(BE40="Closed",AX40="No"),"Closed while outside appetite. ","")&amp;IF(AND(W40="Transfer",BE40&lt;&gt;"Transferred",BE40&lt;&gt;"Closed"),"Transfer: record the contract, SLA and audit rights. ","")&amp;IF(AZ40="","Risk owner missing. ","")&amp;IF(K40="","Scenario not written. ",""))="","OK",TRIM(IF(W40="","Treatment not chosen. ","")&amp;IF(AND(W40="Accept",AX40="No"),"Accepted outside appetite: record approval by "&amp;INDEX(Settings!$G$20:$G$23,MATCH(AW40,Settings!$A$20:$A$23,0))&amp;". ","")&amp;IF(AND(W40="Accept",BG40=""),"Acceptance expiry missing. ","")&amp;IF(AND(BG40&lt;&gt;"",BG40&lt;TODAY()),"Acceptance expired. ","")&amp;IF(AND(W40&lt;&gt;"",W40&lt;&gt;"Accept",AV40=""),"Target rating not set. ","")&amp;IF(AND(BE40="Closed",AX40="No"),"Closed while outside appetite. ","")&amp;IF(AND(W40="Transfer",BE40&lt;&gt;"Transferred",BE40&lt;&gt;"Closed"),"Transfer: record the contract, SLA and audit rights. ","")&amp;IF(AZ40="","Risk owner missing. ","")&amp;IF(K40="","Scenario not written. ",""))))</f>
        <v/>
      </c>
      <c r="BM40" s="82" t="inlineStr">
        <is>
          <t>Wiki example ratings: likelihood Medium, impact High, residual Medium, priority 36.</t>
        </is>
      </c>
    </row>
    <row r="41" ht="105" customHeight="1">
      <c r="A41" s="78" t="inlineStr">
        <is>
          <t>AI-R37</t>
        </is>
      </c>
      <c r="B41" s="79" t="inlineStr">
        <is>
          <t>Provider Obligations Triggered by Modifying a Model</t>
        </is>
      </c>
      <c r="C41" s="80" t="inlineStr">
        <is>
          <t>08</t>
        </is>
      </c>
      <c r="D41" s="81">
        <f>IF(C41="","",IFERROR(INDEX(Lists!$O$2:$O$13,MATCH(C41,Lists!$N$2:$N$13,0)),"Check domain code"))</f>
        <v/>
      </c>
      <c r="E41" s="81">
        <f>IF(C41="","",IFERROR(INDEX(Lists!$P$2:$P$13,MATCH(C41,Lists!$N$2:$N$13,0)),""))</f>
        <v/>
      </c>
      <c r="F41" s="80" t="n"/>
      <c r="G41" s="82" t="inlineStr">
        <is>
          <t>Enterprise-wide (all AI use)</t>
        </is>
      </c>
      <c r="H41" s="82" t="n"/>
      <c r="I41" s="82" t="n"/>
      <c r="J41" s="83" t="inlineStr">
        <is>
          <t>Fine-tuning, rebranding or changing the intended purpose of a third-party model can turn a deployer into a provider under some laws, with heavier obligations. Under the EU AI Act this can happen through a substantial modification or a change of purpose to a high-risk use (see the EU AI Regulatory Hub). Required controls include a role classification for each AI system that is repeated when the model, its purpose or its branding changes, and legal review of the obligations that follow. Adapted from AI Risk Map domain 08 (Legal, Regulatory and Compliance).</t>
        </is>
      </c>
      <c r="K41" s="82" t="n"/>
      <c r="L41" s="82" t="n"/>
      <c r="M41" s="84" t="inlineStr">
        <is>
          <t>E6</t>
        </is>
      </c>
      <c r="N41" s="21">
        <f>IF(COUNTIF(Triage!$E$6:$E$48,"Yes")+COUNTIF(Triage!$E$6:$E$48,"No")=0,"Not triaged",IF(SUMPRODUCT(COUNTIFS(Triage!$A$6:$A$48,{"E6"},Triage!$E$6:$E$48,"Yes"))&gt;0,"Applies","Not triggered"))</f>
        <v/>
      </c>
      <c r="O41" s="82" t="n"/>
      <c r="P41" s="85" t="n"/>
      <c r="Q41" s="85" t="n">
        <v>2</v>
      </c>
      <c r="R41" s="85" t="n">
        <v>3</v>
      </c>
      <c r="S41" s="21">
        <f>IF(OR(Q41="",R41=""),"",Q41*R41)</f>
        <v/>
      </c>
      <c r="T41" s="21">
        <f>IF(S41="","",INDEX(Settings!$A$20:$A$23,MATCH(S41,Settings!$B$20:$B$23,1)))</f>
        <v/>
      </c>
      <c r="U41" s="82" t="inlineStr">
        <is>
          <t>Qualitative (4 x 4)</t>
        </is>
      </c>
      <c r="V41" s="86" t="n"/>
      <c r="W41" s="85" t="n"/>
      <c r="X41" s="82" t="n"/>
      <c r="Y41" s="87" t="inlineStr">
        <is>
          <t>AI-CTRL-011, AI-CTRL-013, AI-CTRL-037</t>
        </is>
      </c>
      <c r="Z41" s="87" t="inlineStr">
        <is>
          <t>AI-CTRL-011, AI-CTRL-013</t>
        </is>
      </c>
      <c r="AA41" s="87" t="inlineStr">
        <is>
          <t>Role classification repeated on change; legal review of obligations</t>
        </is>
      </c>
      <c r="AB41" s="87" t="inlineStr">
        <is>
          <t>Role classification records; change-trigger logs; legal review</t>
        </is>
      </c>
      <c r="AC41" s="87" t="inlineStr">
        <is>
          <t>A.4.2; A.5.2; A.5.3; A.5.4; A.9.4; Clause 6.1.2; Clause 6.1.3</t>
        </is>
      </c>
      <c r="AD41" s="87" t="inlineStr">
        <is>
          <t>A.5.8; A.5.9; A.5.12; A.5.31; A.5.34; A.8.10; A.8.11; Clause 6.1.2; Clause 6.1.3</t>
        </is>
      </c>
      <c r="AE41" s="87" t="inlineStr">
        <is>
          <t>GOVERN 1.1; GOVERN 1.3; GOVERN 1.6; GOVERN 1.7; MANAGE 1.2; MANAGE 1.4; MAP 1.1; MAP 1.5; MAP 5.1; MEASURE 2.10</t>
        </is>
      </c>
      <c r="AF41" s="87" t="inlineStr">
        <is>
          <t>LLM02:2025</t>
        </is>
      </c>
      <c r="AG41" s="87" t="inlineStr">
        <is>
          <t>AML.T0057</t>
        </is>
      </c>
      <c r="AH41" s="87" t="inlineStr">
        <is>
          <t>Not checked</t>
        </is>
      </c>
      <c r="AI41" s="87" t="inlineStr">
        <is>
          <t>GV.OC; GV.RM; ID.AM; ID.RA; PR.DS</t>
        </is>
      </c>
      <c r="AJ41" s="88" t="inlineStr">
        <is>
          <t>CIS 1; CIS 2; CIS 3</t>
        </is>
      </c>
      <c r="AK41" s="87" t="inlineStr">
        <is>
          <t>CC3.1; CC3.2; CC9.1; P1.1; P3.1; P4.1; P4.2; P5.1</t>
        </is>
      </c>
      <c r="AL41" s="87" t="inlineStr">
        <is>
          <t>None</t>
        </is>
      </c>
      <c r="AM41" s="87" t="inlineStr">
        <is>
          <t>08 Regulatory compliance</t>
        </is>
      </c>
      <c r="AN41" s="87" t="inlineStr">
        <is>
          <t>None</t>
        </is>
      </c>
      <c r="AO41" s="87" t="inlineStr">
        <is>
          <t>None</t>
        </is>
      </c>
      <c r="AP41" s="87" t="inlineStr">
        <is>
          <t>None</t>
        </is>
      </c>
      <c r="AQ41" s="88" t="n">
        <v>1</v>
      </c>
      <c r="AR41" s="88" t="n">
        <v>70</v>
      </c>
      <c r="AS41" s="85" t="n"/>
      <c r="AT41" s="85" t="n"/>
      <c r="AU41" s="21">
        <f>IF(OR(AS41="",AT41=""),"",AS41*AT41)</f>
        <v/>
      </c>
      <c r="AV41" s="21">
        <f>IF(AU41="","",INDEX(Settings!$A$20:$A$23,MATCH(AU41,Settings!$B$20:$B$23,1)))</f>
        <v/>
      </c>
      <c r="AW41" s="21">
        <f>IF(AV41&lt;&gt;"",AV41,T41)</f>
        <v/>
      </c>
      <c r="AX41" s="21">
        <f>IF(AW41="","",IF(MATCH(AW41,Settings!$A$20:$A$23,0)&lt;=MATCH(Settings!$C$28,Settings!$A$20:$A$23,0),"Yes","No"))</f>
        <v/>
      </c>
      <c r="AY41" s="81">
        <f>IF(AW41="","",IF(AX41="Yes",INDEX(Settings!$G$20:$G$23,MATCH(AW41,Settings!$A$20:$A$23,0)),INDEX(Settings!$G$20:$G$23,MATCH(AW41,Settings!$A$20:$A$23,0))&amp;" (outside appetite)"))</f>
        <v/>
      </c>
      <c r="AZ41" s="82" t="n"/>
      <c r="BA41" s="82" t="n"/>
      <c r="BB41" s="89" t="n"/>
      <c r="BC41" s="90">
        <f>IF(OR(BB41="",T41=""),"",BB41+INDEX(Settings!$E$20:$E$23,MATCH(T41,Settings!$A$20:$A$23,0)))</f>
        <v/>
      </c>
      <c r="BD41" s="89" t="n"/>
      <c r="BE41" s="82" t="n"/>
      <c r="BF41" s="81">
        <f>IF(A41="","",IF(OR(BE41="Closed",BE41="Accepted"),"No action",IF(BB41="","Set date identified",IF(TODAY()&gt;BC41,"Deadline exceeded",IF(BC41-TODAY()&lt;=Settings!$C$30,"Deadline approaching","On track")))))</f>
        <v/>
      </c>
      <c r="BG41" s="89" t="n"/>
      <c r="BH41" s="89" t="n"/>
      <c r="BI41" s="90">
        <f>IF(OR(BH41="",AW41=""),"",EDATE(BH41,INDEX(Settings!$F$20:$F$23,MATCH(AW41,Settings!$A$20:$A$23,0))))</f>
        <v/>
      </c>
      <c r="BJ41" s="21">
        <f>IF(T41="","",IF(MAX(IF(T41="",0,MATCH(T41,Settings!$A$20:$A$23,0)),IF(AV41="",0,MATCH(AV41,Settings!$A$20:$A$23,0)))&gt;=MATCH(Settings!$C$29,Settings!$A$20:$A$23,0),"Yes","No"))</f>
        <v/>
      </c>
      <c r="BK41" s="82" t="n"/>
      <c r="BL41" s="81">
        <f>IF(A41="","",IF(TRIM(IF(W41="","Treatment not chosen. ","")&amp;IF(AND(W41="Accept",AX41="No"),"Accepted outside appetite: record approval by "&amp;INDEX(Settings!$G$20:$G$23,MATCH(AW41,Settings!$A$20:$A$23,0))&amp;". ","")&amp;IF(AND(W41="Accept",BG41=""),"Acceptance expiry missing. ","")&amp;IF(AND(BG41&lt;&gt;"",BG41&lt;TODAY()),"Acceptance expired. ","")&amp;IF(AND(W41&lt;&gt;"",W41&lt;&gt;"Accept",AV41=""),"Target rating not set. ","")&amp;IF(AND(BE41="Closed",AX41="No"),"Closed while outside appetite. ","")&amp;IF(AND(W41="Transfer",BE41&lt;&gt;"Transferred",BE41&lt;&gt;"Closed"),"Transfer: record the contract, SLA and audit rights. ","")&amp;IF(AZ41="","Risk owner missing. ","")&amp;IF(K41="","Scenario not written. ",""))="","OK",TRIM(IF(W41="","Treatment not chosen. ","")&amp;IF(AND(W41="Accept",AX41="No"),"Accepted outside appetite: record approval by "&amp;INDEX(Settings!$G$20:$G$23,MATCH(AW41,Settings!$A$20:$A$23,0))&amp;". ","")&amp;IF(AND(W41="Accept",BG41=""),"Acceptance expiry missing. ","")&amp;IF(AND(BG41&lt;&gt;"",BG41&lt;TODAY()),"Acceptance expired. ","")&amp;IF(AND(W41&lt;&gt;"",W41&lt;&gt;"Accept",AV41=""),"Target rating not set. ","")&amp;IF(AND(BE41="Closed",AX41="No"),"Closed while outside appetite. ","")&amp;IF(AND(W41="Transfer",BE41&lt;&gt;"Transferred",BE41&lt;&gt;"Closed"),"Transfer: record the contract, SLA and audit rights. ","")&amp;IF(AZ41="","Risk owner missing. ","")&amp;IF(K41="","Scenario not written. ",""))))</f>
        <v/>
      </c>
      <c r="BM41" s="82" t="inlineStr">
        <is>
          <t>Wiki example ratings: likelihood Medium, impact High, residual High, priority 37.</t>
        </is>
      </c>
    </row>
    <row r="42" ht="105" customHeight="1">
      <c r="A42" s="91" t="inlineStr">
        <is>
          <t>AI-R38</t>
        </is>
      </c>
      <c r="B42" s="92" t="inlineStr">
        <is>
          <t>AI Records Not Preserved for Legal Hold and Discovery</t>
        </is>
      </c>
      <c r="C42" s="80" t="inlineStr">
        <is>
          <t>03</t>
        </is>
      </c>
      <c r="D42" s="81">
        <f>IF(C42="","",IFERROR(INDEX(Lists!$O$2:$O$13,MATCH(C42,Lists!$N$2:$N$13,0)),"Check domain code"))</f>
        <v/>
      </c>
      <c r="E42" s="81">
        <f>IF(C42="","",IFERROR(INDEX(Lists!$P$2:$P$13,MATCH(C42,Lists!$N$2:$N$13,0)),""))</f>
        <v/>
      </c>
      <c r="F42" s="80" t="n"/>
      <c r="G42" s="82" t="inlineStr">
        <is>
          <t>Enterprise-wide (all AI use)</t>
        </is>
      </c>
      <c r="H42" s="82" t="n"/>
      <c r="I42" s="82" t="n"/>
      <c r="J42" s="93" t="inlineStr">
        <is>
          <t>Prompts, outputs and agent traces can be relevant to litigation, regulatory inquiries or disputes, and may be subject to a legal hold. Short retention settings in AI tools and data spread across several stores can mean they are deleted or cannot be found. AI-R09 covers forensic visibility for security; this risk covers legal preservation. Required controls include a retention schedule that names AI records, a way to apply a legal hold to them, and a tested search across the stores that hold them. Adapted from AI Risk Map domain 03 (Data and Privacy).</t>
        </is>
      </c>
      <c r="K42" s="82" t="n"/>
      <c r="L42" s="82" t="n"/>
      <c r="M42" s="94" t="inlineStr">
        <is>
          <t>E7</t>
        </is>
      </c>
      <c r="N42" s="21">
        <f>IF(COUNTIF(Triage!$E$6:$E$48,"Yes")+COUNTIF(Triage!$E$6:$E$48,"No")=0,"Not triaged",IF(SUMPRODUCT(COUNTIFS(Triage!$A$6:$A$48,{"E7"},Triage!$E$6:$E$48,"Yes"))&gt;0,"Applies","Not triggered"))</f>
        <v/>
      </c>
      <c r="O42" s="82" t="n"/>
      <c r="P42" s="85" t="n"/>
      <c r="Q42" s="85" t="n">
        <v>2</v>
      </c>
      <c r="R42" s="85" t="n">
        <v>3</v>
      </c>
      <c r="S42" s="21">
        <f>IF(OR(Q42="",R42=""),"",Q42*R42)</f>
        <v/>
      </c>
      <c r="T42" s="21">
        <f>IF(S42="","",INDEX(Settings!$A$20:$A$23,MATCH(S42,Settings!$B$20:$B$23,1)))</f>
        <v/>
      </c>
      <c r="U42" s="82" t="inlineStr">
        <is>
          <t>Qualitative (4 x 4)</t>
        </is>
      </c>
      <c r="V42" s="86" t="n"/>
      <c r="W42" s="85" t="n"/>
      <c r="X42" s="82" t="n"/>
      <c r="Y42" s="95" t="inlineStr">
        <is>
          <t>AI-CTRL-008, AI-CTRL-038, AI-CTRL-035</t>
        </is>
      </c>
      <c r="Z42" s="95" t="inlineStr">
        <is>
          <t>AI-CTRL-008, AI-CTRL-035</t>
        </is>
      </c>
      <c r="AA42" s="95" t="inlineStr">
        <is>
          <t>Retention schedule for AI records; legal hold; search across stores</t>
        </is>
      </c>
      <c r="AB42" s="95" t="inlineStr">
        <is>
          <t>Retention schedule; legal hold procedure; search test results</t>
        </is>
      </c>
      <c r="AC42" s="95" t="inlineStr">
        <is>
          <t>A.3.3; A.6.2.6; A.6.2.8; A.8.3; A.8.4; Clause 9.1; Clause 9.2; Clause 9.3; Clause 10.2</t>
        </is>
      </c>
      <c r="AD42" s="95" t="inlineStr">
        <is>
          <t>A.5.24; A.5.25; A.5.26; A.5.27; A.5.28; A.5.33; A.5.35; A.5.36; A.5.37; A.6.8; A.8.15; A.8.17; Clause 9.2</t>
        </is>
      </c>
      <c r="AE42" s="95" t="inlineStr">
        <is>
          <t>GOVERN 1.5; GOVERN 4.3; GOVERN 6.2; MANAGE 2.3; MANAGE 4.1; MANAGE 4.2; MANAGE 4.3; MEASURE 1.2; MEASURE 1.3; MEASURE 2.4; MEASURE 2.8</t>
        </is>
      </c>
      <c r="AF42" s="95" t="inlineStr"/>
      <c r="AG42" s="95" t="inlineStr"/>
      <c r="AH42" s="95" t="inlineStr">
        <is>
          <t>Not checked</t>
        </is>
      </c>
      <c r="AI42" s="95" t="inlineStr">
        <is>
          <t>DE.AE; DE.CM; GV.OV; ID.IM; PR.PS; RC.RP; RS.AN; RS.CO; RS.MA; RS.MI</t>
        </is>
      </c>
      <c r="AJ42" s="96" t="inlineStr">
        <is>
          <t>CIS 8; CIS 17</t>
        </is>
      </c>
      <c r="AK42" s="95" t="inlineStr">
        <is>
          <t>CC4.1; CC4.2; CC7.2; CC7.3; CC7.4; CC7.5</t>
        </is>
      </c>
      <c r="AL42" s="95" t="inlineStr">
        <is>
          <t>None</t>
        </is>
      </c>
      <c r="AM42" s="95" t="inlineStr">
        <is>
          <t>03 Retention and disposal</t>
        </is>
      </c>
      <c r="AN42" s="95" t="inlineStr">
        <is>
          <t>None</t>
        </is>
      </c>
      <c r="AO42" s="95" t="inlineStr">
        <is>
          <t>None</t>
        </is>
      </c>
      <c r="AP42" s="95" t="inlineStr">
        <is>
          <t>None</t>
        </is>
      </c>
      <c r="AQ42" s="96" t="n">
        <v>1</v>
      </c>
      <c r="AR42" s="96" t="n">
        <v>77</v>
      </c>
      <c r="AS42" s="85" t="n"/>
      <c r="AT42" s="85" t="n"/>
      <c r="AU42" s="21">
        <f>IF(OR(AS42="",AT42=""),"",AS42*AT42)</f>
        <v/>
      </c>
      <c r="AV42" s="21">
        <f>IF(AU42="","",INDEX(Settings!$A$20:$A$23,MATCH(AU42,Settings!$B$20:$B$23,1)))</f>
        <v/>
      </c>
      <c r="AW42" s="21">
        <f>IF(AV42&lt;&gt;"",AV42,T42)</f>
        <v/>
      </c>
      <c r="AX42" s="21">
        <f>IF(AW42="","",IF(MATCH(AW42,Settings!$A$20:$A$23,0)&lt;=MATCH(Settings!$C$28,Settings!$A$20:$A$23,0),"Yes","No"))</f>
        <v/>
      </c>
      <c r="AY42" s="81">
        <f>IF(AW42="","",IF(AX42="Yes",INDEX(Settings!$G$20:$G$23,MATCH(AW42,Settings!$A$20:$A$23,0)),INDEX(Settings!$G$20:$G$23,MATCH(AW42,Settings!$A$20:$A$23,0))&amp;" (outside appetite)"))</f>
        <v/>
      </c>
      <c r="AZ42" s="82" t="n"/>
      <c r="BA42" s="82" t="n"/>
      <c r="BB42" s="89" t="n"/>
      <c r="BC42" s="90">
        <f>IF(OR(BB42="",T42=""),"",BB42+INDEX(Settings!$E$20:$E$23,MATCH(T42,Settings!$A$20:$A$23,0)))</f>
        <v/>
      </c>
      <c r="BD42" s="89" t="n"/>
      <c r="BE42" s="82" t="n"/>
      <c r="BF42" s="81">
        <f>IF(A42="","",IF(OR(BE42="Closed",BE42="Accepted"),"No action",IF(BB42="","Set date identified",IF(TODAY()&gt;BC42,"Deadline exceeded",IF(BC42-TODAY()&lt;=Settings!$C$30,"Deadline approaching","On track")))))</f>
        <v/>
      </c>
      <c r="BG42" s="89" t="n"/>
      <c r="BH42" s="89" t="n"/>
      <c r="BI42" s="90">
        <f>IF(OR(BH42="",AW42=""),"",EDATE(BH42,INDEX(Settings!$F$20:$F$23,MATCH(AW42,Settings!$A$20:$A$23,0))))</f>
        <v/>
      </c>
      <c r="BJ42" s="21">
        <f>IF(T42="","",IF(MAX(IF(T42="",0,MATCH(T42,Settings!$A$20:$A$23,0)),IF(AV42="",0,MATCH(AV42,Settings!$A$20:$A$23,0)))&gt;=MATCH(Settings!$C$29,Settings!$A$20:$A$23,0),"Yes","No"))</f>
        <v/>
      </c>
      <c r="BK42" s="82" t="n"/>
      <c r="BL42" s="81">
        <f>IF(A42="","",IF(TRIM(IF(W42="","Treatment not chosen. ","")&amp;IF(AND(W42="Accept",AX42="No"),"Accepted outside appetite: record approval by "&amp;INDEX(Settings!$G$20:$G$23,MATCH(AW42,Settings!$A$20:$A$23,0))&amp;". ","")&amp;IF(AND(W42="Accept",BG42=""),"Acceptance expiry missing. ","")&amp;IF(AND(BG42&lt;&gt;"",BG42&lt;TODAY()),"Acceptance expired. ","")&amp;IF(AND(W42&lt;&gt;"",W42&lt;&gt;"Accept",AV42=""),"Target rating not set. ","")&amp;IF(AND(BE42="Closed",AX42="No"),"Closed while outside appetite. ","")&amp;IF(AND(W42="Transfer",BE42&lt;&gt;"Transferred",BE42&lt;&gt;"Closed"),"Transfer: record the contract, SLA and audit rights. ","")&amp;IF(AZ42="","Risk owner missing. ","")&amp;IF(K42="","Scenario not written. ",""))="","OK",TRIM(IF(W42="","Treatment not chosen. ","")&amp;IF(AND(W42="Accept",AX42="No"),"Accepted outside appetite: record approval by "&amp;INDEX(Settings!$G$20:$G$23,MATCH(AW42,Settings!$A$20:$A$23,0))&amp;". ","")&amp;IF(AND(W42="Accept",BG42=""),"Acceptance expiry missing. ","")&amp;IF(AND(BG42&lt;&gt;"",BG42&lt;TODAY()),"Acceptance expired. ","")&amp;IF(AND(W42&lt;&gt;"",W42&lt;&gt;"Accept",AV42=""),"Target rating not set. ","")&amp;IF(AND(BE42="Closed",AX42="No"),"Closed while outside appetite. ","")&amp;IF(AND(W42="Transfer",BE42&lt;&gt;"Transferred",BE42&lt;&gt;"Closed"),"Transfer: record the contract, SLA and audit rights. ","")&amp;IF(AZ42="","Risk owner missing. ","")&amp;IF(K42="","Scenario not written. ",""))))</f>
        <v/>
      </c>
      <c r="BM42" s="82" t="inlineStr">
        <is>
          <t>Wiki example ratings: likelihood Medium, impact High, residual High, priority 38.</t>
        </is>
      </c>
    </row>
    <row r="43" ht="105" customHeight="1">
      <c r="A43" s="78" t="inlineStr">
        <is>
          <t>AI-R39</t>
        </is>
      </c>
      <c r="B43" s="79" t="inlineStr">
        <is>
          <t>Missing Independent Model Validation</t>
        </is>
      </c>
      <c r="C43" s="80" t="inlineStr">
        <is>
          <t>04</t>
        </is>
      </c>
      <c r="D43" s="81">
        <f>IF(C43="","",IFERROR(INDEX(Lists!$O$2:$O$13,MATCH(C43,Lists!$N$2:$N$13,0)),"Check domain code"))</f>
        <v/>
      </c>
      <c r="E43" s="81">
        <f>IF(C43="","",IFERROR(INDEX(Lists!$P$2:$P$13,MATCH(C43,Lists!$N$2:$N$13,0)),""))</f>
        <v/>
      </c>
      <c r="F43" s="80" t="n"/>
      <c r="G43" s="82" t="inlineStr">
        <is>
          <t>Enterprise-wide (all AI use)</t>
        </is>
      </c>
      <c r="H43" s="82" t="n"/>
      <c r="I43" s="82" t="n"/>
      <c r="J43" s="83" t="inlineStr">
        <is>
          <t>A model may be approved by the team that built or bought it, with no independent validation or effective challenge, and validation data may not represent real use, so weaknesses show only with live users. Model risk management guidance in banking, such as the US supervisory guidance SR 11-7, expects independent validation. Required controls include validation by people independent of the developer, test data that reflects intended use, and validation repeated when the model or its use changes. Adapted from AI Risk Map domain 04 (Model Development and Performance).</t>
        </is>
      </c>
      <c r="K43" s="82" t="n"/>
      <c r="L43" s="82" t="n"/>
      <c r="M43" s="84" t="inlineStr">
        <is>
          <t>E8</t>
        </is>
      </c>
      <c r="N43" s="21">
        <f>IF(COUNTIF(Triage!$E$6:$E$48,"Yes")+COUNTIF(Triage!$E$6:$E$48,"No")=0,"Not triaged",IF(SUMPRODUCT(COUNTIFS(Triage!$A$6:$A$48,{"E8"},Triage!$E$6:$E$48,"Yes"))&gt;0,"Applies","Not triggered"))</f>
        <v/>
      </c>
      <c r="O43" s="82" t="n"/>
      <c r="P43" s="85" t="n"/>
      <c r="Q43" s="85" t="n">
        <v>2</v>
      </c>
      <c r="R43" s="85" t="n">
        <v>3</v>
      </c>
      <c r="S43" s="21">
        <f>IF(OR(Q43="",R43=""),"",Q43*R43)</f>
        <v/>
      </c>
      <c r="T43" s="21">
        <f>IF(S43="","",INDEX(Settings!$A$20:$A$23,MATCH(S43,Settings!$B$20:$B$23,1)))</f>
        <v/>
      </c>
      <c r="U43" s="82" t="inlineStr">
        <is>
          <t>Qualitative (4 x 4)</t>
        </is>
      </c>
      <c r="V43" s="86" t="n"/>
      <c r="W43" s="85" t="n"/>
      <c r="X43" s="82" t="n"/>
      <c r="Y43" s="87" t="inlineStr">
        <is>
          <t>AI-CTRL-033, AI-CTRL-034, AI-CTRL-038</t>
        </is>
      </c>
      <c r="Z43" s="87" t="inlineStr">
        <is>
          <t>AI-CTRL-033</t>
        </is>
      </c>
      <c r="AA43" s="87" t="inlineStr">
        <is>
          <t>Independent validation; representative test data; revalidation on change</t>
        </is>
      </c>
      <c r="AB43" s="87" t="inlineStr">
        <is>
          <t>Independent validation reports; test data rationale; revalidation records</t>
        </is>
      </c>
      <c r="AC43" s="87" t="inlineStr">
        <is>
          <t>A.5.2; A.6.1.2; A.6.1.3; A.6.2.2; A.6.2.4; A.6.2.5; Clause 9.1; Clause 9.2; Clause 9.3; Clause 10.2</t>
        </is>
      </c>
      <c r="AD43" s="87" t="inlineStr">
        <is>
          <t>A.5.7; A.5.8; A.5.33; A.5.35; A.5.36; A.8.8; A.8.25; A.8.27; A.8.29; A.8.32; A.8.34; Clause 9.2</t>
        </is>
      </c>
      <c r="AE43" s="87" t="inlineStr">
        <is>
          <t>GOVERN 1.5; GOVERN 4.2; GOVERN 4.3; MANAGE 1.1; MANAGE 4.2; MEASURE 1.2; MEASURE 1.3; MEASURE 2.1; MEASURE 2.6; MEASURE 2.7</t>
        </is>
      </c>
      <c r="AF43" s="87" t="inlineStr">
        <is>
          <t>LLM01:2025; LLM02:2025; LLM03:2025; LLM04:2025; LLM05:2025; LLM06:2025; LLM07:2025; LLM08:2025; LLM09:2025; LLM10:2025</t>
        </is>
      </c>
      <c r="AG43" s="87" t="inlineStr"/>
      <c r="AH43" s="87" t="inlineStr">
        <is>
          <t>Not checked</t>
        </is>
      </c>
      <c r="AI43" s="87" t="inlineStr">
        <is>
          <t>GV.OV; ID.IM; ID.RA; PR.PS</t>
        </is>
      </c>
      <c r="AJ43" s="88" t="inlineStr">
        <is>
          <t>CIS 7; CIS 16; CIS 18</t>
        </is>
      </c>
      <c r="AK43" s="87" t="inlineStr">
        <is>
          <t>CC3.4; CC4.1; CC4.2; CC7.1; CC8.1</t>
        </is>
      </c>
      <c r="AL43" s="87" t="inlineStr">
        <is>
          <t>None</t>
        </is>
      </c>
      <c r="AM43" s="87" t="inlineStr">
        <is>
          <t>04 Accuracy and validation</t>
        </is>
      </c>
      <c r="AN43" s="87" t="inlineStr">
        <is>
          <t>None</t>
        </is>
      </c>
      <c r="AO43" s="87" t="inlineStr">
        <is>
          <t>None</t>
        </is>
      </c>
      <c r="AP43" s="87" t="inlineStr">
        <is>
          <t>None</t>
        </is>
      </c>
      <c r="AQ43" s="88" t="n">
        <v>1</v>
      </c>
      <c r="AR43" s="88" t="n">
        <v>63</v>
      </c>
      <c r="AS43" s="85" t="n"/>
      <c r="AT43" s="85" t="n"/>
      <c r="AU43" s="21">
        <f>IF(OR(AS43="",AT43=""),"",AS43*AT43)</f>
        <v/>
      </c>
      <c r="AV43" s="21">
        <f>IF(AU43="","",INDEX(Settings!$A$20:$A$23,MATCH(AU43,Settings!$B$20:$B$23,1)))</f>
        <v/>
      </c>
      <c r="AW43" s="21">
        <f>IF(AV43&lt;&gt;"",AV43,T43)</f>
        <v/>
      </c>
      <c r="AX43" s="21">
        <f>IF(AW43="","",IF(MATCH(AW43,Settings!$A$20:$A$23,0)&lt;=MATCH(Settings!$C$28,Settings!$A$20:$A$23,0),"Yes","No"))</f>
        <v/>
      </c>
      <c r="AY43" s="81">
        <f>IF(AW43="","",IF(AX43="Yes",INDEX(Settings!$G$20:$G$23,MATCH(AW43,Settings!$A$20:$A$23,0)),INDEX(Settings!$G$20:$G$23,MATCH(AW43,Settings!$A$20:$A$23,0))&amp;" (outside appetite)"))</f>
        <v/>
      </c>
      <c r="AZ43" s="82" t="n"/>
      <c r="BA43" s="82" t="n"/>
      <c r="BB43" s="89" t="n"/>
      <c r="BC43" s="90">
        <f>IF(OR(BB43="",T43=""),"",BB43+INDEX(Settings!$E$20:$E$23,MATCH(T43,Settings!$A$20:$A$23,0)))</f>
        <v/>
      </c>
      <c r="BD43" s="89" t="n"/>
      <c r="BE43" s="82" t="n"/>
      <c r="BF43" s="81">
        <f>IF(A43="","",IF(OR(BE43="Closed",BE43="Accepted"),"No action",IF(BB43="","Set date identified",IF(TODAY()&gt;BC43,"Deadline exceeded",IF(BC43-TODAY()&lt;=Settings!$C$30,"Deadline approaching","On track")))))</f>
        <v/>
      </c>
      <c r="BG43" s="89" t="n"/>
      <c r="BH43" s="89" t="n"/>
      <c r="BI43" s="90">
        <f>IF(OR(BH43="",AW43=""),"",EDATE(BH43,INDEX(Settings!$F$20:$F$23,MATCH(AW43,Settings!$A$20:$A$23,0))))</f>
        <v/>
      </c>
      <c r="BJ43" s="21">
        <f>IF(T43="","",IF(MAX(IF(T43="",0,MATCH(T43,Settings!$A$20:$A$23,0)),IF(AV43="",0,MATCH(AV43,Settings!$A$20:$A$23,0)))&gt;=MATCH(Settings!$C$29,Settings!$A$20:$A$23,0),"Yes","No"))</f>
        <v/>
      </c>
      <c r="BK43" s="82" t="n"/>
      <c r="BL43" s="81">
        <f>IF(A43="","",IF(TRIM(IF(W43="","Treatment not chosen. ","")&amp;IF(AND(W43="Accept",AX43="No"),"Accepted outside appetite: record approval by "&amp;INDEX(Settings!$G$20:$G$23,MATCH(AW43,Settings!$A$20:$A$23,0))&amp;". ","")&amp;IF(AND(W43="Accept",BG43=""),"Acceptance expiry missing. ","")&amp;IF(AND(BG43&lt;&gt;"",BG43&lt;TODAY()),"Acceptance expired. ","")&amp;IF(AND(W43&lt;&gt;"",W43&lt;&gt;"Accept",AV43=""),"Target rating not set. ","")&amp;IF(AND(BE43="Closed",AX43="No"),"Closed while outside appetite. ","")&amp;IF(AND(W43="Transfer",BE43&lt;&gt;"Transferred",BE43&lt;&gt;"Closed"),"Transfer: record the contract, SLA and audit rights. ","")&amp;IF(AZ43="","Risk owner missing. ","")&amp;IF(K43="","Scenario not written. ",""))="","OK",TRIM(IF(W43="","Treatment not chosen. ","")&amp;IF(AND(W43="Accept",AX43="No"),"Accepted outside appetite: record approval by "&amp;INDEX(Settings!$G$20:$G$23,MATCH(AW43,Settings!$A$20:$A$23,0))&amp;". ","")&amp;IF(AND(W43="Accept",BG43=""),"Acceptance expiry missing. ","")&amp;IF(AND(BG43&lt;&gt;"",BG43&lt;TODAY()),"Acceptance expired. ","")&amp;IF(AND(W43&lt;&gt;"",W43&lt;&gt;"Accept",AV43=""),"Target rating not set. ","")&amp;IF(AND(BE43="Closed",AX43="No"),"Closed while outside appetite. ","")&amp;IF(AND(W43="Transfer",BE43&lt;&gt;"Transferred",BE43&lt;&gt;"Closed"),"Transfer: record the contract, SLA and audit rights. ","")&amp;IF(AZ43="","Risk owner missing. ","")&amp;IF(K43="","Scenario not written. ",""))))</f>
        <v/>
      </c>
      <c r="BM43" s="82" t="inlineStr">
        <is>
          <t>Wiki example ratings: likelihood Medium, impact High, residual High, priority 39.</t>
        </is>
      </c>
    </row>
    <row r="44" ht="105" customHeight="1">
      <c r="A44" s="91" t="inlineStr">
        <is>
          <t>AI-R40</t>
        </is>
      </c>
      <c r="B44" s="92" t="inlineStr">
        <is>
          <t>AI Output Relied On in Financial Reporting Controls</t>
        </is>
      </c>
      <c r="C44" s="80" t="inlineStr">
        <is>
          <t>01</t>
        </is>
      </c>
      <c r="D44" s="81">
        <f>IF(C44="","",IFERROR(INDEX(Lists!$O$2:$O$13,MATCH(C44,Lists!$N$2:$N$13,0)),"Check domain code"))</f>
        <v/>
      </c>
      <c r="E44" s="81">
        <f>IF(C44="","",IFERROR(INDEX(Lists!$P$2:$P$13,MATCH(C44,Lists!$N$2:$N$13,0)),""))</f>
        <v/>
      </c>
      <c r="F44" s="80" t="n"/>
      <c r="G44" s="82" t="inlineStr">
        <is>
          <t>Enterprise-wide (all AI use)</t>
        </is>
      </c>
      <c r="H44" s="82" t="n"/>
      <c r="I44" s="82" t="n"/>
      <c r="J44" s="93" t="inlineStr">
        <is>
          <t>AI may prepare reconciliations, journal entries or other inputs to financial reporting without the scope of internal control testing being changed to cover it. If nobody records which artifacts AI produced, a flaw in the model cannot be traced to what it affected. Required controls include notifying internal control owners and auditors when AI enters a financial reporting process, recording which outputs AI produced, and testing the AI step as part of the control. Adapted from AI Risk Map domain 01 (AI Governance and Accountability).</t>
        </is>
      </c>
      <c r="K44" s="82" t="n"/>
      <c r="L44" s="82" t="n"/>
      <c r="M44" s="94" t="inlineStr">
        <is>
          <t>E8</t>
        </is>
      </c>
      <c r="N44" s="21">
        <f>IF(COUNTIF(Triage!$E$6:$E$48,"Yes")+COUNTIF(Triage!$E$6:$E$48,"No")=0,"Not triaged",IF(SUMPRODUCT(COUNTIFS(Triage!$A$6:$A$48,{"E8"},Triage!$E$6:$E$48,"Yes"))&gt;0,"Applies","Not triggered"))</f>
        <v/>
      </c>
      <c r="O44" s="82" t="n"/>
      <c r="P44" s="85" t="n"/>
      <c r="Q44" s="85" t="n">
        <v>2</v>
      </c>
      <c r="R44" s="85" t="n">
        <v>3</v>
      </c>
      <c r="S44" s="21">
        <f>IF(OR(Q44="",R44=""),"",Q44*R44)</f>
        <v/>
      </c>
      <c r="T44" s="21">
        <f>IF(S44="","",INDEX(Settings!$A$20:$A$23,MATCH(S44,Settings!$B$20:$B$23,1)))</f>
        <v/>
      </c>
      <c r="U44" s="82" t="inlineStr">
        <is>
          <t>Qualitative (4 x 4)</t>
        </is>
      </c>
      <c r="V44" s="86" t="n"/>
      <c r="W44" s="85" t="n"/>
      <c r="X44" s="82" t="n"/>
      <c r="Y44" s="95" t="inlineStr">
        <is>
          <t>AI-CTRL-038, AI-CTRL-011, AI-CTRL-008</t>
        </is>
      </c>
      <c r="Z44" s="95" t="inlineStr">
        <is>
          <t>AI-CTRL-011, AI-CTRL-008</t>
        </is>
      </c>
      <c r="AA44" s="95" t="inlineStr">
        <is>
          <t>Control owner and auditor notification; record of AI-produced outputs; testing of the AI step</t>
        </is>
      </c>
      <c r="AB44" s="95" t="inlineStr">
        <is>
          <t>Scope change records; output provenance records; control test results</t>
        </is>
      </c>
      <c r="AC44" s="95" t="inlineStr">
        <is>
          <t>A.4.2; A.5.2; A.6.2.8; A.9.4; Clause 9.1; Clause 9.2; Clause 9.3; Clause 10.2</t>
        </is>
      </c>
      <c r="AD44" s="95" t="inlineStr">
        <is>
          <t>A.5.8; A.5.9; A.5.12; A.5.28; A.5.33; A.5.35; A.5.36; A.8.15; A.8.17; Clause 9.2</t>
        </is>
      </c>
      <c r="AE44" s="95" t="inlineStr">
        <is>
          <t>GOVERN 1.3; GOVERN 1.5; GOVERN 1.6; GOVERN 1.7; MANAGE 4.1; MANAGE 4.2; MAP 1.1; MEASURE 1.2; MEASURE 1.3; MEASURE 2.4; MEASURE 2.8</t>
        </is>
      </c>
      <c r="AF44" s="95" t="inlineStr"/>
      <c r="AG44" s="95" t="inlineStr"/>
      <c r="AH44" s="95" t="inlineStr">
        <is>
          <t>Not checked</t>
        </is>
      </c>
      <c r="AI44" s="95" t="inlineStr">
        <is>
          <t>DE.CM; GV.OV; GV.RM; ID.AM; ID.IM; ID.RA; PR.PS</t>
        </is>
      </c>
      <c r="AJ44" s="96" t="inlineStr">
        <is>
          <t>CIS 1; CIS 2; CIS 8</t>
        </is>
      </c>
      <c r="AK44" s="95" t="inlineStr">
        <is>
          <t>CC3.1; CC3.2; CC4.1; CC4.2; CC7.2</t>
        </is>
      </c>
      <c r="AL44" s="95" t="inlineStr">
        <is>
          <t>None</t>
        </is>
      </c>
      <c r="AM44" s="95" t="inlineStr">
        <is>
          <t>01 Audit and assurance</t>
        </is>
      </c>
      <c r="AN44" s="95" t="inlineStr">
        <is>
          <t>None</t>
        </is>
      </c>
      <c r="AO44" s="95" t="inlineStr">
        <is>
          <t>None</t>
        </is>
      </c>
      <c r="AP44" s="95" t="inlineStr">
        <is>
          <t>None</t>
        </is>
      </c>
      <c r="AQ44" s="96" t="n">
        <v>1</v>
      </c>
      <c r="AR44" s="96" t="n">
        <v>58</v>
      </c>
      <c r="AS44" s="85" t="n"/>
      <c r="AT44" s="85" t="n"/>
      <c r="AU44" s="21">
        <f>IF(OR(AS44="",AT44=""),"",AS44*AT44)</f>
        <v/>
      </c>
      <c r="AV44" s="21">
        <f>IF(AU44="","",INDEX(Settings!$A$20:$A$23,MATCH(AU44,Settings!$B$20:$B$23,1)))</f>
        <v/>
      </c>
      <c r="AW44" s="21">
        <f>IF(AV44&lt;&gt;"",AV44,T44)</f>
        <v/>
      </c>
      <c r="AX44" s="21">
        <f>IF(AW44="","",IF(MATCH(AW44,Settings!$A$20:$A$23,0)&lt;=MATCH(Settings!$C$28,Settings!$A$20:$A$23,0),"Yes","No"))</f>
        <v/>
      </c>
      <c r="AY44" s="81">
        <f>IF(AW44="","",IF(AX44="Yes",INDEX(Settings!$G$20:$G$23,MATCH(AW44,Settings!$A$20:$A$23,0)),INDEX(Settings!$G$20:$G$23,MATCH(AW44,Settings!$A$20:$A$23,0))&amp;" (outside appetite)"))</f>
        <v/>
      </c>
      <c r="AZ44" s="82" t="n"/>
      <c r="BA44" s="82" t="n"/>
      <c r="BB44" s="89" t="n"/>
      <c r="BC44" s="90">
        <f>IF(OR(BB44="",T44=""),"",BB44+INDEX(Settings!$E$20:$E$23,MATCH(T44,Settings!$A$20:$A$23,0)))</f>
        <v/>
      </c>
      <c r="BD44" s="89" t="n"/>
      <c r="BE44" s="82" t="n"/>
      <c r="BF44" s="81">
        <f>IF(A44="","",IF(OR(BE44="Closed",BE44="Accepted"),"No action",IF(BB44="","Set date identified",IF(TODAY()&gt;BC44,"Deadline exceeded",IF(BC44-TODAY()&lt;=Settings!$C$30,"Deadline approaching","On track")))))</f>
        <v/>
      </c>
      <c r="BG44" s="89" t="n"/>
      <c r="BH44" s="89" t="n"/>
      <c r="BI44" s="90">
        <f>IF(OR(BH44="",AW44=""),"",EDATE(BH44,INDEX(Settings!$F$20:$F$23,MATCH(AW44,Settings!$A$20:$A$23,0))))</f>
        <v/>
      </c>
      <c r="BJ44" s="21">
        <f>IF(T44="","",IF(MAX(IF(T44="",0,MATCH(T44,Settings!$A$20:$A$23,0)),IF(AV44="",0,MATCH(AV44,Settings!$A$20:$A$23,0)))&gt;=MATCH(Settings!$C$29,Settings!$A$20:$A$23,0),"Yes","No"))</f>
        <v/>
      </c>
      <c r="BK44" s="82" t="n"/>
      <c r="BL44" s="81">
        <f>IF(A44="","",IF(TRIM(IF(W44="","Treatment not chosen. ","")&amp;IF(AND(W44="Accept",AX44="No"),"Accepted outside appetite: record approval by "&amp;INDEX(Settings!$G$20:$G$23,MATCH(AW44,Settings!$A$20:$A$23,0))&amp;". ","")&amp;IF(AND(W44="Accept",BG44=""),"Acceptance expiry missing. ","")&amp;IF(AND(BG44&lt;&gt;"",BG44&lt;TODAY()),"Acceptance expired. ","")&amp;IF(AND(W44&lt;&gt;"",W44&lt;&gt;"Accept",AV44=""),"Target rating not set. ","")&amp;IF(AND(BE44="Closed",AX44="No"),"Closed while outside appetite. ","")&amp;IF(AND(W44="Transfer",BE44&lt;&gt;"Transferred",BE44&lt;&gt;"Closed"),"Transfer: record the contract, SLA and audit rights. ","")&amp;IF(AZ44="","Risk owner missing. ","")&amp;IF(K44="","Scenario not written. ",""))="","OK",TRIM(IF(W44="","Treatment not chosen. ","")&amp;IF(AND(W44="Accept",AX44="No"),"Accepted outside appetite: record approval by "&amp;INDEX(Settings!$G$20:$G$23,MATCH(AW44,Settings!$A$20:$A$23,0))&amp;". ","")&amp;IF(AND(W44="Accept",BG44=""),"Acceptance expiry missing. ","")&amp;IF(AND(BG44&lt;&gt;"",BG44&lt;TODAY()),"Acceptance expired. ","")&amp;IF(AND(W44&lt;&gt;"",W44&lt;&gt;"Accept",AV44=""),"Target rating not set. ","")&amp;IF(AND(BE44="Closed",AX44="No"),"Closed while outside appetite. ","")&amp;IF(AND(W44="Transfer",BE44&lt;&gt;"Transferred",BE44&lt;&gt;"Closed"),"Transfer: record the contract, SLA and audit rights. ","")&amp;IF(AZ44="","Risk owner missing. ","")&amp;IF(K44="","Scenario not written. ",""))))</f>
        <v/>
      </c>
      <c r="BM44" s="82" t="inlineStr">
        <is>
          <t>Wiki example ratings: likelihood Medium, impact High, residual High, priority 40.</t>
        </is>
      </c>
    </row>
    <row r="45" ht="105" customHeight="1">
      <c r="A45" s="78" t="inlineStr">
        <is>
          <t>AI-R41</t>
        </is>
      </c>
      <c r="B45" s="79" t="inlineStr">
        <is>
          <t>AI-Washing and Unverified AI Capability Claims</t>
        </is>
      </c>
      <c r="C45" s="80" t="inlineStr">
        <is>
          <t>10</t>
        </is>
      </c>
      <c r="D45" s="81">
        <f>IF(C45="","",IFERROR(INDEX(Lists!$O$2:$O$13,MATCH(C45,Lists!$N$2:$N$13,0)),"Check domain code"))</f>
        <v/>
      </c>
      <c r="E45" s="81">
        <f>IF(C45="","",IFERROR(INDEX(Lists!$P$2:$P$13,MATCH(C45,Lists!$N$2:$N$13,0)),""))</f>
        <v/>
      </c>
      <c r="F45" s="80" t="n"/>
      <c r="G45" s="82" t="inlineStr">
        <is>
          <t>Enterprise-wide (all AI use)</t>
        </is>
      </c>
      <c r="H45" s="82" t="n"/>
      <c r="I45" s="82" t="n"/>
      <c r="J45" s="83" t="inlineStr">
        <is>
          <t>An organization may overstate what its AI does to customers, investors or regulators, and may buy products whose "AI-powered" claims it cannot verify. Both can lead to regulatory action, disputes and lost trust. Required controls include review of external AI claims against evidence before publication, and testing of vendor capability claims during evaluation. Adapted from AI Risk Map domain 10 (Workforce, Human and Societal).</t>
        </is>
      </c>
      <c r="K45" s="82" t="n"/>
      <c r="L45" s="82" t="n"/>
      <c r="M45" s="84" t="inlineStr">
        <is>
          <t>E9</t>
        </is>
      </c>
      <c r="N45" s="21">
        <f>IF(COUNTIF(Triage!$E$6:$E$48,"Yes")+COUNTIF(Triage!$E$6:$E$48,"No")=0,"Not triaged",IF(SUMPRODUCT(COUNTIFS(Triage!$A$6:$A$48,{"E9"},Triage!$E$6:$E$48,"Yes"))&gt;0,"Applies","Not triggered"))</f>
        <v/>
      </c>
      <c r="O45" s="82" t="n"/>
      <c r="P45" s="85" t="n"/>
      <c r="Q45" s="85" t="n">
        <v>2</v>
      </c>
      <c r="R45" s="85" t="n">
        <v>3</v>
      </c>
      <c r="S45" s="21">
        <f>IF(OR(Q45="",R45=""),"",Q45*R45)</f>
        <v/>
      </c>
      <c r="T45" s="21">
        <f>IF(S45="","",INDEX(Settings!$A$20:$A$23,MATCH(S45,Settings!$B$20:$B$23,1)))</f>
        <v/>
      </c>
      <c r="U45" s="82" t="inlineStr">
        <is>
          <t>Qualitative (4 x 4)</t>
        </is>
      </c>
      <c r="V45" s="86" t="n"/>
      <c r="W45" s="85" t="n"/>
      <c r="X45" s="82" t="n"/>
      <c r="Y45" s="87" t="inlineStr">
        <is>
          <t>AI-CTRL-012, AI-CTRL-014, AI-CTRL-039</t>
        </is>
      </c>
      <c r="Z45" s="87" t="inlineStr">
        <is>
          <t>AI-CTRL-012, AI-CTRL-014</t>
        </is>
      </c>
      <c r="AA45" s="87" t="inlineStr">
        <is>
          <t>Review of external AI claims; testing of vendor claims</t>
        </is>
      </c>
      <c r="AB45" s="87" t="inlineStr">
        <is>
          <t>Claims review records; vendor evaluation test results</t>
        </is>
      </c>
      <c r="AC45" s="87" t="inlineStr">
        <is>
          <t>A.2.2; A.2.3; A.2.4; A.3.2; A.6.2.4; A.8.2; A.10.2; A.10.3</t>
        </is>
      </c>
      <c r="AD45" s="87" t="inlineStr">
        <is>
          <t>A.5.1; A.5.2; A.5.4; A.5.10; A.5.11; A.5.19; A.5.20; A.5.21; A.5.22; A.5.23; A.6.2; A.6.4</t>
        </is>
      </c>
      <c r="AE45" s="87" t="inlineStr">
        <is>
          <t>GOVERN 1.2; GOVERN 1.4; GOVERN 2.1; GOVERN 2.2; GOVERN 6.1; GOVERN 6.2; MANAGE 3.1; MAP 2.2; MEASURE 2.5; MEASURE 2.6</t>
        </is>
      </c>
      <c r="AF45" s="87" t="inlineStr">
        <is>
          <t>LLM03:2025; LLM09:2025</t>
        </is>
      </c>
      <c r="AG45" s="87" t="inlineStr">
        <is>
          <t>AML.T0010; AML.T0048; AML.T0060; AML.T0062; AML.T0109</t>
        </is>
      </c>
      <c r="AH45" s="87" t="inlineStr">
        <is>
          <t>Not checked</t>
        </is>
      </c>
      <c r="AI45" s="87" t="inlineStr">
        <is>
          <t>GV.PO; GV.RR; GV.SC</t>
        </is>
      </c>
      <c r="AJ45" s="88" t="inlineStr">
        <is>
          <t>CIS 15</t>
        </is>
      </c>
      <c r="AK45" s="87" t="inlineStr">
        <is>
          <t>CC1.3; CC2.2; CC5.3; CC9.2; PI1.3; PI1.4</t>
        </is>
      </c>
      <c r="AL45" s="87" t="inlineStr">
        <is>
          <t>None</t>
        </is>
      </c>
      <c r="AM45" s="87" t="inlineStr">
        <is>
          <t>09 Vendor due diligence; 10 Societal and reputational</t>
        </is>
      </c>
      <c r="AN45" s="87" t="inlineStr">
        <is>
          <t>None</t>
        </is>
      </c>
      <c r="AO45" s="87" t="inlineStr">
        <is>
          <t>None</t>
        </is>
      </c>
      <c r="AP45" s="87" t="inlineStr">
        <is>
          <t>None</t>
        </is>
      </c>
      <c r="AQ45" s="88" t="n">
        <v>2</v>
      </c>
      <c r="AR45" s="88" t="n">
        <v>43</v>
      </c>
      <c r="AS45" s="85" t="n"/>
      <c r="AT45" s="85" t="n"/>
      <c r="AU45" s="21">
        <f>IF(OR(AS45="",AT45=""),"",AS45*AT45)</f>
        <v/>
      </c>
      <c r="AV45" s="21">
        <f>IF(AU45="","",INDEX(Settings!$A$20:$A$23,MATCH(AU45,Settings!$B$20:$B$23,1)))</f>
        <v/>
      </c>
      <c r="AW45" s="21">
        <f>IF(AV45&lt;&gt;"",AV45,T45)</f>
        <v/>
      </c>
      <c r="AX45" s="21">
        <f>IF(AW45="","",IF(MATCH(AW45,Settings!$A$20:$A$23,0)&lt;=MATCH(Settings!$C$28,Settings!$A$20:$A$23,0),"Yes","No"))</f>
        <v/>
      </c>
      <c r="AY45" s="81">
        <f>IF(AW45="","",IF(AX45="Yes",INDEX(Settings!$G$20:$G$23,MATCH(AW45,Settings!$A$20:$A$23,0)),INDEX(Settings!$G$20:$G$23,MATCH(AW45,Settings!$A$20:$A$23,0))&amp;" (outside appetite)"))</f>
        <v/>
      </c>
      <c r="AZ45" s="82" t="n"/>
      <c r="BA45" s="82" t="n"/>
      <c r="BB45" s="89" t="n"/>
      <c r="BC45" s="90">
        <f>IF(OR(BB45="",T45=""),"",BB45+INDEX(Settings!$E$20:$E$23,MATCH(T45,Settings!$A$20:$A$23,0)))</f>
        <v/>
      </c>
      <c r="BD45" s="89" t="n"/>
      <c r="BE45" s="82" t="n"/>
      <c r="BF45" s="81">
        <f>IF(A45="","",IF(OR(BE45="Closed",BE45="Accepted"),"No action",IF(BB45="","Set date identified",IF(TODAY()&gt;BC45,"Deadline exceeded",IF(BC45-TODAY()&lt;=Settings!$C$30,"Deadline approaching","On track")))))</f>
        <v/>
      </c>
      <c r="BG45" s="89" t="n"/>
      <c r="BH45" s="89" t="n"/>
      <c r="BI45" s="90">
        <f>IF(OR(BH45="",AW45=""),"",EDATE(BH45,INDEX(Settings!$F$20:$F$23,MATCH(AW45,Settings!$A$20:$A$23,0))))</f>
        <v/>
      </c>
      <c r="BJ45" s="21">
        <f>IF(T45="","",IF(MAX(IF(T45="",0,MATCH(T45,Settings!$A$20:$A$23,0)),IF(AV45="",0,MATCH(AV45,Settings!$A$20:$A$23,0)))&gt;=MATCH(Settings!$C$29,Settings!$A$20:$A$23,0),"Yes","No"))</f>
        <v/>
      </c>
      <c r="BK45" s="82" t="n"/>
      <c r="BL45" s="81">
        <f>IF(A45="","",IF(TRIM(IF(W45="","Treatment not chosen. ","")&amp;IF(AND(W45="Accept",AX45="No"),"Accepted outside appetite: record approval by "&amp;INDEX(Settings!$G$20:$G$23,MATCH(AW45,Settings!$A$20:$A$23,0))&amp;". ","")&amp;IF(AND(W45="Accept",BG45=""),"Acceptance expiry missing. ","")&amp;IF(AND(BG45&lt;&gt;"",BG45&lt;TODAY()),"Acceptance expired. ","")&amp;IF(AND(W45&lt;&gt;"",W45&lt;&gt;"Accept",AV45=""),"Target rating not set. ","")&amp;IF(AND(BE45="Closed",AX45="No"),"Closed while outside appetite. ","")&amp;IF(AND(W45="Transfer",BE45&lt;&gt;"Transferred",BE45&lt;&gt;"Closed"),"Transfer: record the contract, SLA and audit rights. ","")&amp;IF(AZ45="","Risk owner missing. ","")&amp;IF(K45="","Scenario not written. ",""))="","OK",TRIM(IF(W45="","Treatment not chosen. ","")&amp;IF(AND(W45="Accept",AX45="No"),"Accepted outside appetite: record approval by "&amp;INDEX(Settings!$G$20:$G$23,MATCH(AW45,Settings!$A$20:$A$23,0))&amp;". ","")&amp;IF(AND(W45="Accept",BG45=""),"Acceptance expiry missing. ","")&amp;IF(AND(BG45&lt;&gt;"",BG45&lt;TODAY()),"Acceptance expired. ","")&amp;IF(AND(W45&lt;&gt;"",W45&lt;&gt;"Accept",AV45=""),"Target rating not set. ","")&amp;IF(AND(BE45="Closed",AX45="No"),"Closed while outside appetite. ","")&amp;IF(AND(W45="Transfer",BE45&lt;&gt;"Transferred",BE45&lt;&gt;"Closed"),"Transfer: record the contract, SLA and audit rights. ","")&amp;IF(AZ45="","Risk owner missing. ","")&amp;IF(K45="","Scenario not written. ",""))))</f>
        <v/>
      </c>
      <c r="BM45" s="82" t="inlineStr">
        <is>
          <t>Wiki example ratings: likelihood Medium, impact High, residual Medium, priority 41.</t>
        </is>
      </c>
    </row>
    <row r="46" ht="105" customHeight="1">
      <c r="A46" s="91" t="inlineStr">
        <is>
          <t>AI-R42</t>
        </is>
      </c>
      <c r="B46" s="92" t="inlineStr">
        <is>
          <t>Anthropomorphism and Emotional Dependence</t>
        </is>
      </c>
      <c r="C46" s="80" t="inlineStr">
        <is>
          <t>06</t>
        </is>
      </c>
      <c r="D46" s="81">
        <f>IF(C46="","",IFERROR(INDEX(Lists!$O$2:$O$13,MATCH(C46,Lists!$N$2:$N$13,0)),"Check domain code"))</f>
        <v/>
      </c>
      <c r="E46" s="81">
        <f>IF(C46="","",IFERROR(INDEX(Lists!$P$2:$P$13,MATCH(C46,Lists!$N$2:$N$13,0)),""))</f>
        <v/>
      </c>
      <c r="F46" s="80" t="n"/>
      <c r="G46" s="82" t="inlineStr">
        <is>
          <t>Enterprise-wide (all AI use)</t>
        </is>
      </c>
      <c r="H46" s="82" t="n"/>
      <c r="I46" s="82" t="n"/>
      <c r="J46" s="93" t="inlineStr">
        <is>
          <t>People can attribute human qualities to conversational AI and come to depend on it emotionally, which raises the risk of manipulation and of harm to vulnerable users, including minors. This goes beyond the automation bias covered by AI-R19. Required controls include design review of personas and conversational style, clear disclosure that the user is talking to AI, safeguards and escalation for vulnerable users, and monitoring for patterns of dependence. Adapted from AI Risk Map domain 06 (Safety, Ethics and Responsible AI).</t>
        </is>
      </c>
      <c r="K46" s="82" t="n"/>
      <c r="L46" s="82" t="n"/>
      <c r="M46" s="94" t="inlineStr">
        <is>
          <t>E10</t>
        </is>
      </c>
      <c r="N46" s="21">
        <f>IF(COUNTIF(Triage!$E$6:$E$48,"Yes")+COUNTIF(Triage!$E$6:$E$48,"No")=0,"Not triaged",IF(SUMPRODUCT(COUNTIFS(Triage!$A$6:$A$48,{"E10"},Triage!$E$6:$E$48,"Yes"))&gt;0,"Applies","Not triggered"))</f>
        <v/>
      </c>
      <c r="O46" s="82" t="n"/>
      <c r="P46" s="85" t="n"/>
      <c r="Q46" s="85" t="n">
        <v>2</v>
      </c>
      <c r="R46" s="85" t="n">
        <v>3</v>
      </c>
      <c r="S46" s="21">
        <f>IF(OR(Q46="",R46=""),"",Q46*R46)</f>
        <v/>
      </c>
      <c r="T46" s="21">
        <f>IF(S46="","",INDEX(Settings!$A$20:$A$23,MATCH(S46,Settings!$B$20:$B$23,1)))</f>
        <v/>
      </c>
      <c r="U46" s="82" t="inlineStr">
        <is>
          <t>Qualitative (4 x 4)</t>
        </is>
      </c>
      <c r="V46" s="86" t="n"/>
      <c r="W46" s="85" t="n"/>
      <c r="X46" s="82" t="n"/>
      <c r="Y46" s="95" t="inlineStr">
        <is>
          <t>AI-CTRL-045, AI-CTRL-039, AI-CTRL-012</t>
        </is>
      </c>
      <c r="Z46" s="95" t="inlineStr">
        <is>
          <t>AI-CTRL-012</t>
        </is>
      </c>
      <c r="AA46" s="95" t="inlineStr">
        <is>
          <t>Persona and disclosure design; vulnerable-user safeguards; dependence monitoring</t>
        </is>
      </c>
      <c r="AB46" s="95" t="inlineStr">
        <is>
          <t>Design review records; disclosure text; safeguard tests; monitoring reports</t>
        </is>
      </c>
      <c r="AC46" s="95" t="inlineStr">
        <is>
          <t>A.2.2; A.2.3; A.2.4; A.3.2; A.6.2.4; A.8.2; A.9.2; A.9.3</t>
        </is>
      </c>
      <c r="AD46" s="95" t="inlineStr">
        <is>
          <t>A.5.1; A.5.2; A.5.4; A.5.10; A.6.2; A.6.4</t>
        </is>
      </c>
      <c r="AE46" s="95" t="inlineStr">
        <is>
          <t>GOVERN 1.2; GOVERN 1.4; GOVERN 2.1; GOVERN 2.2; GOVERN 3.2; MAP 2.2; MAP 3.5; MEASURE 2.5; MEASURE 2.6</t>
        </is>
      </c>
      <c r="AF46" s="95" t="inlineStr">
        <is>
          <t>ASI09; LLM06:2025; LLM09:2025</t>
        </is>
      </c>
      <c r="AG46" s="95" t="inlineStr">
        <is>
          <t>AML.T0048; AML.T0060; AML.T0062</t>
        </is>
      </c>
      <c r="AH46" s="95" t="inlineStr">
        <is>
          <t>Not checked</t>
        </is>
      </c>
      <c r="AI46" s="95" t="inlineStr">
        <is>
          <t>GV.PO; GV.RR</t>
        </is>
      </c>
      <c r="AJ46" s="96" t="inlineStr"/>
      <c r="AK46" s="95" t="inlineStr">
        <is>
          <t>CC1.3; CC2.2; CC5.3; PI1.3; PI1.4</t>
        </is>
      </c>
      <c r="AL46" s="95" t="inlineStr">
        <is>
          <t>Human-AI Configuration</t>
        </is>
      </c>
      <c r="AM46" s="95" t="inlineStr">
        <is>
          <t>06 Transparency, disclosure and provenance; 06 Human agency and over-reliance</t>
        </is>
      </c>
      <c r="AN46" s="95" t="inlineStr">
        <is>
          <t>None</t>
        </is>
      </c>
      <c r="AO46" s="95" t="inlineStr">
        <is>
          <t>None</t>
        </is>
      </c>
      <c r="AP46" s="95" t="inlineStr">
        <is>
          <t>None</t>
        </is>
      </c>
      <c r="AQ46" s="96" t="n">
        <v>3</v>
      </c>
      <c r="AR46" s="96" t="n">
        <v>21</v>
      </c>
      <c r="AS46" s="85" t="n"/>
      <c r="AT46" s="85" t="n"/>
      <c r="AU46" s="21">
        <f>IF(OR(AS46="",AT46=""),"",AS46*AT46)</f>
        <v/>
      </c>
      <c r="AV46" s="21">
        <f>IF(AU46="","",INDEX(Settings!$A$20:$A$23,MATCH(AU46,Settings!$B$20:$B$23,1)))</f>
        <v/>
      </c>
      <c r="AW46" s="21">
        <f>IF(AV46&lt;&gt;"",AV46,T46)</f>
        <v/>
      </c>
      <c r="AX46" s="21">
        <f>IF(AW46="","",IF(MATCH(AW46,Settings!$A$20:$A$23,0)&lt;=MATCH(Settings!$C$28,Settings!$A$20:$A$23,0),"Yes","No"))</f>
        <v/>
      </c>
      <c r="AY46" s="81">
        <f>IF(AW46="","",IF(AX46="Yes",INDEX(Settings!$G$20:$G$23,MATCH(AW46,Settings!$A$20:$A$23,0)),INDEX(Settings!$G$20:$G$23,MATCH(AW46,Settings!$A$20:$A$23,0))&amp;" (outside appetite)"))</f>
        <v/>
      </c>
      <c r="AZ46" s="82" t="n"/>
      <c r="BA46" s="82" t="n"/>
      <c r="BB46" s="89" t="n"/>
      <c r="BC46" s="90">
        <f>IF(OR(BB46="",T46=""),"",BB46+INDEX(Settings!$E$20:$E$23,MATCH(T46,Settings!$A$20:$A$23,0)))</f>
        <v/>
      </c>
      <c r="BD46" s="89" t="n"/>
      <c r="BE46" s="82" t="n"/>
      <c r="BF46" s="81">
        <f>IF(A46="","",IF(OR(BE46="Closed",BE46="Accepted"),"No action",IF(BB46="","Set date identified",IF(TODAY()&gt;BC46,"Deadline exceeded",IF(BC46-TODAY()&lt;=Settings!$C$30,"Deadline approaching","On track")))))</f>
        <v/>
      </c>
      <c r="BG46" s="89" t="n"/>
      <c r="BH46" s="89" t="n"/>
      <c r="BI46" s="90">
        <f>IF(OR(BH46="",AW46=""),"",EDATE(BH46,INDEX(Settings!$F$20:$F$23,MATCH(AW46,Settings!$A$20:$A$23,0))))</f>
        <v/>
      </c>
      <c r="BJ46" s="21">
        <f>IF(T46="","",IF(MAX(IF(T46="",0,MATCH(T46,Settings!$A$20:$A$23,0)),IF(AV46="",0,MATCH(AV46,Settings!$A$20:$A$23,0)))&gt;=MATCH(Settings!$C$29,Settings!$A$20:$A$23,0),"Yes","No"))</f>
        <v/>
      </c>
      <c r="BK46" s="82" t="n"/>
      <c r="BL46" s="81">
        <f>IF(A46="","",IF(TRIM(IF(W46="","Treatment not chosen. ","")&amp;IF(AND(W46="Accept",AX46="No"),"Accepted outside appetite: record approval by "&amp;INDEX(Settings!$G$20:$G$23,MATCH(AW46,Settings!$A$20:$A$23,0))&amp;". ","")&amp;IF(AND(W46="Accept",BG46=""),"Acceptance expiry missing. ","")&amp;IF(AND(BG46&lt;&gt;"",BG46&lt;TODAY()),"Acceptance expired. ","")&amp;IF(AND(W46&lt;&gt;"",W46&lt;&gt;"Accept",AV46=""),"Target rating not set. ","")&amp;IF(AND(BE46="Closed",AX46="No"),"Closed while outside appetite. ","")&amp;IF(AND(W46="Transfer",BE46&lt;&gt;"Transferred",BE46&lt;&gt;"Closed"),"Transfer: record the contract, SLA and audit rights. ","")&amp;IF(AZ46="","Risk owner missing. ","")&amp;IF(K46="","Scenario not written. ",""))="","OK",TRIM(IF(W46="","Treatment not chosen. ","")&amp;IF(AND(W46="Accept",AX46="No"),"Accepted outside appetite: record approval by "&amp;INDEX(Settings!$G$20:$G$23,MATCH(AW46,Settings!$A$20:$A$23,0))&amp;". ","")&amp;IF(AND(W46="Accept",BG46=""),"Acceptance expiry missing. ","")&amp;IF(AND(BG46&lt;&gt;"",BG46&lt;TODAY()),"Acceptance expired. ","")&amp;IF(AND(W46&lt;&gt;"",W46&lt;&gt;"Accept",AV46=""),"Target rating not set. ","")&amp;IF(AND(BE46="Closed",AX46="No"),"Closed while outside appetite. ","")&amp;IF(AND(W46="Transfer",BE46&lt;&gt;"Transferred",BE46&lt;&gt;"Closed"),"Transfer: record the contract, SLA and audit rights. ","")&amp;IF(AZ46="","Risk owner missing. ","")&amp;IF(K46="","Scenario not written. ",""))))</f>
        <v/>
      </c>
      <c r="BM46" s="82" t="inlineStr">
        <is>
          <t>Wiki example ratings: likelihood Medium, impact High, residual Medium, priority 42.</t>
        </is>
      </c>
    </row>
    <row r="47" ht="105" customHeight="1">
      <c r="A47" s="78" t="inlineStr">
        <is>
          <t>AI-R43</t>
        </is>
      </c>
      <c r="B47" s="79" t="inlineStr">
        <is>
          <t>Hallucinated Package Dependencies</t>
        </is>
      </c>
      <c r="C47" s="80" t="inlineStr">
        <is>
          <t>05</t>
        </is>
      </c>
      <c r="D47" s="81">
        <f>IF(C47="","",IFERROR(INDEX(Lists!$O$2:$O$13,MATCH(C47,Lists!$N$2:$N$13,0)),"Check domain code"))</f>
        <v/>
      </c>
      <c r="E47" s="81">
        <f>IF(C47="","",IFERROR(INDEX(Lists!$P$2:$P$13,MATCH(C47,Lists!$N$2:$N$13,0)),""))</f>
        <v/>
      </c>
      <c r="F47" s="80" t="n"/>
      <c r="G47" s="82" t="inlineStr">
        <is>
          <t>Enterprise-wide (all AI use)</t>
        </is>
      </c>
      <c r="H47" s="82" t="n"/>
      <c r="I47" s="82" t="n"/>
      <c r="J47" s="83" t="inlineStr">
        <is>
          <t>AI coding assistants and agents can suggest or install packages that do not exist. An attacker who registers those names in a public package registry gets their code installed. AI-R12 covers invented packages as an output reliability problem; this risk covers the attack. Required controls include installing only from an approved registry or proxy, checking that a suggested package exists and is established before use, and dependency scanning in the release gate. Adapted from AI Risk Map domain 05 (Security and Adversarial Threats).</t>
        </is>
      </c>
      <c r="K47" s="82" t="n"/>
      <c r="L47" s="82" t="n"/>
      <c r="M47" s="84" t="inlineStr">
        <is>
          <t>E11</t>
        </is>
      </c>
      <c r="N47" s="21">
        <f>IF(COUNTIF(Triage!$E$6:$E$48,"Yes")+COUNTIF(Triage!$E$6:$E$48,"No")=0,"Not triaged",IF(SUMPRODUCT(COUNTIFS(Triage!$A$6:$A$48,{"E11"},Triage!$E$6:$E$48,"Yes"))&gt;0,"Applies","Not triggered"))</f>
        <v/>
      </c>
      <c r="O47" s="82" t="n"/>
      <c r="P47" s="85" t="n"/>
      <c r="Q47" s="85" t="n">
        <v>2</v>
      </c>
      <c r="R47" s="85" t="n">
        <v>3</v>
      </c>
      <c r="S47" s="21">
        <f>IF(OR(Q47="",R47=""),"",Q47*R47)</f>
        <v/>
      </c>
      <c r="T47" s="21">
        <f>IF(S47="","",INDEX(Settings!$A$20:$A$23,MATCH(S47,Settings!$B$20:$B$23,1)))</f>
        <v/>
      </c>
      <c r="U47" s="82" t="inlineStr">
        <is>
          <t>Qualitative (4 x 4)</t>
        </is>
      </c>
      <c r="V47" s="86" t="n"/>
      <c r="W47" s="85" t="n"/>
      <c r="X47" s="82" t="n"/>
      <c r="Y47" s="87" t="inlineStr">
        <is>
          <t>AI-CTRL-031, AI-CTRL-004, AI-CTRL-033</t>
        </is>
      </c>
      <c r="Z47" s="87" t="inlineStr">
        <is>
          <t>AI-CTRL-033</t>
        </is>
      </c>
      <c r="AA47" s="87" t="inlineStr">
        <is>
          <t>Approved registry or proxy; package existence checks; dependency scanning</t>
        </is>
      </c>
      <c r="AB47" s="87" t="inlineStr">
        <is>
          <t>Registry configuration; blocked install logs; release gate scan results</t>
        </is>
      </c>
      <c r="AC47" s="87" t="inlineStr">
        <is>
          <t>A.4.2; A.4.4; A.5.2; A.6.1.2; A.6.1.3; A.6.2.2; A.6.2.4; A.6.2.5; A.6.2.7; A.7.5; A.9.2; A.10.3</t>
        </is>
      </c>
      <c r="AD47" s="87" t="inlineStr">
        <is>
          <t>A.5.8; A.5.9; A.5.21; A.8.1; A.8.4; A.8.8; A.8.12; A.8.19; A.8.25; A.8.27; A.8.28; A.8.29; A.8.30; A.8.32</t>
        </is>
      </c>
      <c r="AE47" s="87" t="inlineStr">
        <is>
          <t>GOVERN 4.2; GOVERN 6.1; MANAGE 1.1; MANAGE 3.1; MANAGE 3.2; MANAGE 4.1; MAP 4.1; MEASURE 2.7; MEASURE 2.10</t>
        </is>
      </c>
      <c r="AF47" s="87" t="inlineStr">
        <is>
          <t>LLM02:2025; LLM03:2025</t>
        </is>
      </c>
      <c r="AG47" s="87" t="inlineStr">
        <is>
          <t>AML.T0010; AML.T0055; AML.T0057; AML.T0109; AML.T0111; AML.T0115</t>
        </is>
      </c>
      <c r="AH47" s="87" t="inlineStr">
        <is>
          <t>Not checked</t>
        </is>
      </c>
      <c r="AI47" s="87" t="inlineStr">
        <is>
          <t>GV.SC; ID.AM; ID.RA; PR.DS; PR.PS</t>
        </is>
      </c>
      <c r="AJ47" s="88" t="inlineStr">
        <is>
          <t>CIS 2; CIS 3; CIS 7; CIS 15; CIS 16</t>
        </is>
      </c>
      <c r="AK47" s="87" t="inlineStr">
        <is>
          <t>CC3.4; CC6.7; CC7.1; CC8.1; CC9.2</t>
        </is>
      </c>
      <c r="AL47" s="87" t="inlineStr">
        <is>
          <t>None</t>
        </is>
      </c>
      <c r="AM47" s="87" t="inlineStr">
        <is>
          <t>05 Supply-chain and artifact integrity</t>
        </is>
      </c>
      <c r="AN47" s="87" t="inlineStr">
        <is>
          <t>None</t>
        </is>
      </c>
      <c r="AO47" s="87" t="inlineStr">
        <is>
          <t>None</t>
        </is>
      </c>
      <c r="AP47" s="87" t="inlineStr">
        <is>
          <t>None</t>
        </is>
      </c>
      <c r="AQ47" s="88" t="n">
        <v>1</v>
      </c>
      <c r="AR47" s="88" t="n">
        <v>51</v>
      </c>
      <c r="AS47" s="85" t="n"/>
      <c r="AT47" s="85" t="n"/>
      <c r="AU47" s="21">
        <f>IF(OR(AS47="",AT47=""),"",AS47*AT47)</f>
        <v/>
      </c>
      <c r="AV47" s="21">
        <f>IF(AU47="","",INDEX(Settings!$A$20:$A$23,MATCH(AU47,Settings!$B$20:$B$23,1)))</f>
        <v/>
      </c>
      <c r="AW47" s="21">
        <f>IF(AV47&lt;&gt;"",AV47,T47)</f>
        <v/>
      </c>
      <c r="AX47" s="21">
        <f>IF(AW47="","",IF(MATCH(AW47,Settings!$A$20:$A$23,0)&lt;=MATCH(Settings!$C$28,Settings!$A$20:$A$23,0),"Yes","No"))</f>
        <v/>
      </c>
      <c r="AY47" s="81">
        <f>IF(AW47="","",IF(AX47="Yes",INDEX(Settings!$G$20:$G$23,MATCH(AW47,Settings!$A$20:$A$23,0)),INDEX(Settings!$G$20:$G$23,MATCH(AW47,Settings!$A$20:$A$23,0))&amp;" (outside appetite)"))</f>
        <v/>
      </c>
      <c r="AZ47" s="82" t="n"/>
      <c r="BA47" s="82" t="n"/>
      <c r="BB47" s="89" t="n"/>
      <c r="BC47" s="90">
        <f>IF(OR(BB47="",T47=""),"",BB47+INDEX(Settings!$E$20:$E$23,MATCH(T47,Settings!$A$20:$A$23,0)))</f>
        <v/>
      </c>
      <c r="BD47" s="89" t="n"/>
      <c r="BE47" s="82" t="n"/>
      <c r="BF47" s="81">
        <f>IF(A47="","",IF(OR(BE47="Closed",BE47="Accepted"),"No action",IF(BB47="","Set date identified",IF(TODAY()&gt;BC47,"Deadline exceeded",IF(BC47-TODAY()&lt;=Settings!$C$30,"Deadline approaching","On track")))))</f>
        <v/>
      </c>
      <c r="BG47" s="89" t="n"/>
      <c r="BH47" s="89" t="n"/>
      <c r="BI47" s="90">
        <f>IF(OR(BH47="",AW47=""),"",EDATE(BH47,INDEX(Settings!$F$20:$F$23,MATCH(AW47,Settings!$A$20:$A$23,0))))</f>
        <v/>
      </c>
      <c r="BJ47" s="21">
        <f>IF(T47="","",IF(MAX(IF(T47="",0,MATCH(T47,Settings!$A$20:$A$23,0)),IF(AV47="",0,MATCH(AV47,Settings!$A$20:$A$23,0)))&gt;=MATCH(Settings!$C$29,Settings!$A$20:$A$23,0),"Yes","No"))</f>
        <v/>
      </c>
      <c r="BK47" s="82" t="n"/>
      <c r="BL47" s="81">
        <f>IF(A47="","",IF(TRIM(IF(W47="","Treatment not chosen. ","")&amp;IF(AND(W47="Accept",AX47="No"),"Accepted outside appetite: record approval by "&amp;INDEX(Settings!$G$20:$G$23,MATCH(AW47,Settings!$A$20:$A$23,0))&amp;". ","")&amp;IF(AND(W47="Accept",BG47=""),"Acceptance expiry missing. ","")&amp;IF(AND(BG47&lt;&gt;"",BG47&lt;TODAY()),"Acceptance expired. ","")&amp;IF(AND(W47&lt;&gt;"",W47&lt;&gt;"Accept",AV47=""),"Target rating not set. ","")&amp;IF(AND(BE47="Closed",AX47="No"),"Closed while outside appetite. ","")&amp;IF(AND(W47="Transfer",BE47&lt;&gt;"Transferred",BE47&lt;&gt;"Closed"),"Transfer: record the contract, SLA and audit rights. ","")&amp;IF(AZ47="","Risk owner missing. ","")&amp;IF(K47="","Scenario not written. ",""))="","OK",TRIM(IF(W47="","Treatment not chosen. ","")&amp;IF(AND(W47="Accept",AX47="No"),"Accepted outside appetite: record approval by "&amp;INDEX(Settings!$G$20:$G$23,MATCH(AW47,Settings!$A$20:$A$23,0))&amp;". ","")&amp;IF(AND(W47="Accept",BG47=""),"Acceptance expiry missing. ","")&amp;IF(AND(BG47&lt;&gt;"",BG47&lt;TODAY()),"Acceptance expired. ","")&amp;IF(AND(W47&lt;&gt;"",W47&lt;&gt;"Accept",AV47=""),"Target rating not set. ","")&amp;IF(AND(BE47="Closed",AX47="No"),"Closed while outside appetite. ","")&amp;IF(AND(W47="Transfer",BE47&lt;&gt;"Transferred",BE47&lt;&gt;"Closed"),"Transfer: record the contract, SLA and audit rights. ","")&amp;IF(AZ47="","Risk owner missing. ","")&amp;IF(K47="","Scenario not written. ",""))))</f>
        <v/>
      </c>
      <c r="BM47" s="82" t="inlineStr">
        <is>
          <t>Wiki example ratings: likelihood Medium, impact High, residual High, priority 43.</t>
        </is>
      </c>
    </row>
    <row r="48" ht="105" customHeight="1">
      <c r="A48" s="91" t="inlineStr">
        <is>
          <t>AI-R44</t>
        </is>
      </c>
      <c r="B48" s="92" t="inlineStr">
        <is>
          <t>Safety Training Removed from Self-Hosted Models</t>
        </is>
      </c>
      <c r="C48" s="80" t="inlineStr">
        <is>
          <t>09</t>
        </is>
      </c>
      <c r="D48" s="81">
        <f>IF(C48="","",IFERROR(INDEX(Lists!$O$2:$O$13,MATCH(C48,Lists!$N$2:$N$13,0)),"Check domain code"))</f>
        <v/>
      </c>
      <c r="E48" s="81">
        <f>IF(C48="","",IFERROR(INDEX(Lists!$P$2:$P$13,MATCH(C48,Lists!$N$2:$N$13,0)),""))</f>
        <v/>
      </c>
      <c r="F48" s="80" t="n"/>
      <c r="G48" s="82" t="inlineStr">
        <is>
          <t>Enterprise-wide (all AI use)</t>
        </is>
      </c>
      <c r="H48" s="82" t="n"/>
      <c r="I48" s="82" t="n"/>
      <c r="J48" s="93" t="inlineStr">
        <is>
          <t>Open-weight models can be fine-tuned or modified so that their safety training is weakened or removed, and modified versions are published under names that hide their lineage. A team that self-hosts such a model may not know its refusals no longer work. Required controls include verifying where model weights came from, safety and refusal evaluation before deployment and after any fine-tuning, and recording the model's lineage in the AI-BOM. Adapted from AI Risk Map domain 09 (Third-Party and Model Supply Chain).</t>
        </is>
      </c>
      <c r="K48" s="82" t="n"/>
      <c r="L48" s="82" t="n"/>
      <c r="M48" s="94" t="inlineStr">
        <is>
          <t>E6</t>
        </is>
      </c>
      <c r="N48" s="21">
        <f>IF(COUNTIF(Triage!$E$6:$E$48,"Yes")+COUNTIF(Triage!$E$6:$E$48,"No")=0,"Not triaged",IF(SUMPRODUCT(COUNTIFS(Triage!$A$6:$A$48,{"E6"},Triage!$E$6:$E$48,"Yes"))&gt;0,"Applies","Not triggered"))</f>
        <v/>
      </c>
      <c r="O48" s="82" t="n"/>
      <c r="P48" s="85" t="n"/>
      <c r="Q48" s="85" t="n">
        <v>2</v>
      </c>
      <c r="R48" s="85" t="n">
        <v>3</v>
      </c>
      <c r="S48" s="21">
        <f>IF(OR(Q48="",R48=""),"",Q48*R48)</f>
        <v/>
      </c>
      <c r="T48" s="21">
        <f>IF(S48="","",INDEX(Settings!$A$20:$A$23,MATCH(S48,Settings!$B$20:$B$23,1)))</f>
        <v/>
      </c>
      <c r="U48" s="82" t="inlineStr">
        <is>
          <t>Qualitative (4 x 4)</t>
        </is>
      </c>
      <c r="V48" s="86" t="n"/>
      <c r="W48" s="85" t="n"/>
      <c r="X48" s="82" t="n"/>
      <c r="Y48" s="95" t="inlineStr">
        <is>
          <t>AI-CTRL-031, AI-CTRL-034, AI-CTRL-033</t>
        </is>
      </c>
      <c r="Z48" s="95" t="inlineStr">
        <is>
          <t>AI-CTRL-033</t>
        </is>
      </c>
      <c r="AA48" s="95" t="inlineStr">
        <is>
          <t>Weight provenance; safety evaluation before deployment and after fine-tuning; lineage in the AI-BOM</t>
        </is>
      </c>
      <c r="AB48" s="95" t="inlineStr">
        <is>
          <t>Provenance records; refusal and safety evaluation results; AI-BOM entries</t>
        </is>
      </c>
      <c r="AC48" s="95" t="inlineStr">
        <is>
          <t>A.4.2; A.5.2; A.6.1.2; A.6.1.3; A.6.2.2; A.6.2.4; A.6.2.5; A.6.2.7; A.7.5; A.10.3</t>
        </is>
      </c>
      <c r="AD48" s="95" t="inlineStr">
        <is>
          <t>A.5.7; A.5.8; A.5.9; A.5.21; A.8.8; A.8.19; A.8.25; A.8.27; A.8.29; A.8.30; A.8.32; A.8.34</t>
        </is>
      </c>
      <c r="AE48" s="95" t="inlineStr">
        <is>
          <t>GOVERN 4.2; GOVERN 4.3; GOVERN 6.1; MANAGE 1.1; MANAGE 3.1; MANAGE 3.2; MAP 4.1; MEASURE 2.1; MEASURE 2.6; MEASURE 2.7</t>
        </is>
      </c>
      <c r="AF48" s="95" t="inlineStr">
        <is>
          <t>LLM01:2025; LLM02:2025; LLM03:2025; LLM04:2025; LLM05:2025; LLM06:2025; LLM07:2025; LLM08:2025; LLM09:2025; LLM10:2025</t>
        </is>
      </c>
      <c r="AG48" s="95" t="inlineStr">
        <is>
          <t>AML.T0010; AML.T0109; AML.T0111; AML.T0115</t>
        </is>
      </c>
      <c r="AH48" s="95" t="inlineStr">
        <is>
          <t>Not checked</t>
        </is>
      </c>
      <c r="AI48" s="95" t="inlineStr">
        <is>
          <t>GV.SC; ID.AM; ID.IM; ID.RA; PR.PS</t>
        </is>
      </c>
      <c r="AJ48" s="96" t="inlineStr">
        <is>
          <t>CIS 2; CIS 7; CIS 15; CIS 16; CIS 18</t>
        </is>
      </c>
      <c r="AK48" s="95" t="inlineStr">
        <is>
          <t>CC3.4; CC4.1; CC7.1; CC8.1; CC9.2</t>
        </is>
      </c>
      <c r="AL48" s="95" t="inlineStr">
        <is>
          <t>None</t>
        </is>
      </c>
      <c r="AM48" s="95" t="inlineStr">
        <is>
          <t>09 Open-source component risk</t>
        </is>
      </c>
      <c r="AN48" s="95" t="inlineStr">
        <is>
          <t>None</t>
        </is>
      </c>
      <c r="AO48" s="95" t="inlineStr">
        <is>
          <t>None</t>
        </is>
      </c>
      <c r="AP48" s="95" t="inlineStr">
        <is>
          <t>None</t>
        </is>
      </c>
      <c r="AQ48" s="96" t="n">
        <v>1</v>
      </c>
      <c r="AR48" s="96" t="n">
        <v>70</v>
      </c>
      <c r="AS48" s="85" t="n"/>
      <c r="AT48" s="85" t="n"/>
      <c r="AU48" s="21">
        <f>IF(OR(AS48="",AT48=""),"",AS48*AT48)</f>
        <v/>
      </c>
      <c r="AV48" s="21">
        <f>IF(AU48="","",INDEX(Settings!$A$20:$A$23,MATCH(AU48,Settings!$B$20:$B$23,1)))</f>
        <v/>
      </c>
      <c r="AW48" s="21">
        <f>IF(AV48&lt;&gt;"",AV48,T48)</f>
        <v/>
      </c>
      <c r="AX48" s="21">
        <f>IF(AW48="","",IF(MATCH(AW48,Settings!$A$20:$A$23,0)&lt;=MATCH(Settings!$C$28,Settings!$A$20:$A$23,0),"Yes","No"))</f>
        <v/>
      </c>
      <c r="AY48" s="81">
        <f>IF(AW48="","",IF(AX48="Yes",INDEX(Settings!$G$20:$G$23,MATCH(AW48,Settings!$A$20:$A$23,0)),INDEX(Settings!$G$20:$G$23,MATCH(AW48,Settings!$A$20:$A$23,0))&amp;" (outside appetite)"))</f>
        <v/>
      </c>
      <c r="AZ48" s="82" t="n"/>
      <c r="BA48" s="82" t="n"/>
      <c r="BB48" s="89" t="n"/>
      <c r="BC48" s="90">
        <f>IF(OR(BB48="",T48=""),"",BB48+INDEX(Settings!$E$20:$E$23,MATCH(T48,Settings!$A$20:$A$23,0)))</f>
        <v/>
      </c>
      <c r="BD48" s="89" t="n"/>
      <c r="BE48" s="82" t="n"/>
      <c r="BF48" s="81">
        <f>IF(A48="","",IF(OR(BE48="Closed",BE48="Accepted"),"No action",IF(BB48="","Set date identified",IF(TODAY()&gt;BC48,"Deadline exceeded",IF(BC48-TODAY()&lt;=Settings!$C$30,"Deadline approaching","On track")))))</f>
        <v/>
      </c>
      <c r="BG48" s="89" t="n"/>
      <c r="BH48" s="89" t="n"/>
      <c r="BI48" s="90">
        <f>IF(OR(BH48="",AW48=""),"",EDATE(BH48,INDEX(Settings!$F$20:$F$23,MATCH(AW48,Settings!$A$20:$A$23,0))))</f>
        <v/>
      </c>
      <c r="BJ48" s="21">
        <f>IF(T48="","",IF(MAX(IF(T48="",0,MATCH(T48,Settings!$A$20:$A$23,0)),IF(AV48="",0,MATCH(AV48,Settings!$A$20:$A$23,0)))&gt;=MATCH(Settings!$C$29,Settings!$A$20:$A$23,0),"Yes","No"))</f>
        <v/>
      </c>
      <c r="BK48" s="82" t="n"/>
      <c r="BL48" s="81">
        <f>IF(A48="","",IF(TRIM(IF(W48="","Treatment not chosen. ","")&amp;IF(AND(W48="Accept",AX48="No"),"Accepted outside appetite: record approval by "&amp;INDEX(Settings!$G$20:$G$23,MATCH(AW48,Settings!$A$20:$A$23,0))&amp;". ","")&amp;IF(AND(W48="Accept",BG48=""),"Acceptance expiry missing. ","")&amp;IF(AND(BG48&lt;&gt;"",BG48&lt;TODAY()),"Acceptance expired. ","")&amp;IF(AND(W48&lt;&gt;"",W48&lt;&gt;"Accept",AV48=""),"Target rating not set. ","")&amp;IF(AND(BE48="Closed",AX48="No"),"Closed while outside appetite. ","")&amp;IF(AND(W48="Transfer",BE48&lt;&gt;"Transferred",BE48&lt;&gt;"Closed"),"Transfer: record the contract, SLA and audit rights. ","")&amp;IF(AZ48="","Risk owner missing. ","")&amp;IF(K48="","Scenario not written. ",""))="","OK",TRIM(IF(W48="","Treatment not chosen. ","")&amp;IF(AND(W48="Accept",AX48="No"),"Accepted outside appetite: record approval by "&amp;INDEX(Settings!$G$20:$G$23,MATCH(AW48,Settings!$A$20:$A$23,0))&amp;". ","")&amp;IF(AND(W48="Accept",BG48=""),"Acceptance expiry missing. ","")&amp;IF(AND(BG48&lt;&gt;"",BG48&lt;TODAY()),"Acceptance expired. ","")&amp;IF(AND(W48&lt;&gt;"",W48&lt;&gt;"Accept",AV48=""),"Target rating not set. ","")&amp;IF(AND(BE48="Closed",AX48="No"),"Closed while outside appetite. ","")&amp;IF(AND(W48="Transfer",BE48&lt;&gt;"Transferred",BE48&lt;&gt;"Closed"),"Transfer: record the contract, SLA and audit rights. ","")&amp;IF(AZ48="","Risk owner missing. ","")&amp;IF(K48="","Scenario not written. ",""))))</f>
        <v/>
      </c>
      <c r="BM48" s="82" t="inlineStr">
        <is>
          <t>Wiki example ratings: likelihood Medium, impact High, residual Medium, priority 44.</t>
        </is>
      </c>
    </row>
    <row r="49" ht="105" customHeight="1">
      <c r="A49" s="78" t="inlineStr">
        <is>
          <t>AI-R45</t>
        </is>
      </c>
      <c r="B49" s="79" t="inlineStr">
        <is>
          <t>Agent Activity Indistinguishable from Attack</t>
        </is>
      </c>
      <c r="C49" s="80" t="inlineStr">
        <is>
          <t>07</t>
        </is>
      </c>
      <c r="D49" s="81">
        <f>IF(C49="","",IFERROR(INDEX(Lists!$O$2:$O$13,MATCH(C49,Lists!$N$2:$N$13,0)),"Check domain code"))</f>
        <v/>
      </c>
      <c r="E49" s="81">
        <f>IF(C49="","",IFERROR(INDEX(Lists!$P$2:$P$13,MATCH(C49,Lists!$N$2:$N$13,0)),""))</f>
        <v/>
      </c>
      <c r="F49" s="80" t="n"/>
      <c r="G49" s="82" t="inlineStr">
        <is>
          <t>Enterprise-wide (all AI use)</t>
        </is>
      </c>
      <c r="H49" s="82" t="n"/>
      <c r="I49" s="82" t="n"/>
      <c r="J49" s="83" t="inlineStr">
        <is>
          <t>Approved agents that read widely, call many tools and act quickly can look the same in logs as an attacker using agentic tooling, so detections either drown in false alarms or are tuned until they miss real attacks. Required controls include a distinct identity for each agent in telemetry, a record of who authorised each agent's task, and detection rules that use that context. Adapted from AI Risk Map domain 07 (Operations and Resilience).</t>
        </is>
      </c>
      <c r="K49" s="82" t="n"/>
      <c r="L49" s="82" t="n"/>
      <c r="M49" s="84" t="inlineStr">
        <is>
          <t>E12</t>
        </is>
      </c>
      <c r="N49" s="21">
        <f>IF(COUNTIF(Triage!$E$6:$E$48,"Yes")+COUNTIF(Triage!$E$6:$E$48,"No")=0,"Not triaged",IF(SUMPRODUCT(COUNTIFS(Triage!$A$6:$A$48,{"E12"},Triage!$E$6:$E$48,"Yes"))&gt;0,"Applies","Not triggered"))</f>
        <v/>
      </c>
      <c r="O49" s="82" t="n"/>
      <c r="P49" s="85" t="n"/>
      <c r="Q49" s="85" t="n">
        <v>2</v>
      </c>
      <c r="R49" s="85" t="n">
        <v>3</v>
      </c>
      <c r="S49" s="21">
        <f>IF(OR(Q49="",R49=""),"",Q49*R49)</f>
        <v/>
      </c>
      <c r="T49" s="21">
        <f>IF(S49="","",INDEX(Settings!$A$20:$A$23,MATCH(S49,Settings!$B$20:$B$23,1)))</f>
        <v/>
      </c>
      <c r="U49" s="82" t="inlineStr">
        <is>
          <t>Qualitative (4 x 4)</t>
        </is>
      </c>
      <c r="V49" s="86" t="n"/>
      <c r="W49" s="85" t="n"/>
      <c r="X49" s="82" t="n"/>
      <c r="Y49" s="87" t="inlineStr">
        <is>
          <t>AI-CTRL-015, AI-CTRL-008, AI-CTRL-009</t>
        </is>
      </c>
      <c r="Z49" s="87" t="inlineStr">
        <is>
          <t>AI-CTRL-015, AI-CTRL-008</t>
        </is>
      </c>
      <c r="AA49" s="87" t="inlineStr">
        <is>
          <t>Distinct agent identity in telemetry; task authorisation records; context-aware detection</t>
        </is>
      </c>
      <c r="AB49" s="87" t="inlineStr">
        <is>
          <t>Agent identity in logs; authorisation records; detection rule tests</t>
        </is>
      </c>
      <c r="AC49" s="87" t="inlineStr">
        <is>
          <t>A.6.2.6; A.6.2.8</t>
        </is>
      </c>
      <c r="AD49" s="87" t="inlineStr">
        <is>
          <t>A.5.16; A.5.17; A.5.25; A.5.28; A.5.33; A.5.37; A.8.5; A.8.15; A.8.16; A.8.17</t>
        </is>
      </c>
      <c r="AE49" s="87" t="inlineStr">
        <is>
          <t>MANAGE 4.1; MEASURE 2.4; MEASURE 2.7; MEASURE 2.8; MEASURE 3.1</t>
        </is>
      </c>
      <c r="AF49" s="87" t="inlineStr">
        <is>
          <t>ASI03; ASI07; LLM06:2025</t>
        </is>
      </c>
      <c r="AG49" s="87" t="inlineStr">
        <is>
          <t>AML.T0012; AML.T0073; AML.T0091</t>
        </is>
      </c>
      <c r="AH49" s="87" t="inlineStr">
        <is>
          <t>Not checked</t>
        </is>
      </c>
      <c r="AI49" s="87" t="inlineStr">
        <is>
          <t>DE.AE; DE.CM; PR.AA; PR.PS</t>
        </is>
      </c>
      <c r="AJ49" s="88" t="inlineStr">
        <is>
          <t>CIS 5; CIS 6; CIS 8; CIS 13</t>
        </is>
      </c>
      <c r="AK49" s="87" t="inlineStr">
        <is>
          <t>CC6.1; CC6.2; CC7.2; CC7.3</t>
        </is>
      </c>
      <c r="AL49" s="87" t="inlineStr">
        <is>
          <t>None</t>
        </is>
      </c>
      <c r="AM49" s="87" t="inlineStr">
        <is>
          <t>07 Monitoring and observability</t>
        </is>
      </c>
      <c r="AN49" s="87" t="inlineStr">
        <is>
          <t>MCP08:2025</t>
        </is>
      </c>
      <c r="AO49" s="87" t="inlineStr">
        <is>
          <t>None</t>
        </is>
      </c>
      <c r="AP49" s="87" t="inlineStr">
        <is>
          <t>None</t>
        </is>
      </c>
      <c r="AQ49" s="88" t="n">
        <v>2</v>
      </c>
      <c r="AR49" s="88" t="n">
        <v>84</v>
      </c>
      <c r="AS49" s="85" t="n"/>
      <c r="AT49" s="85" t="n"/>
      <c r="AU49" s="21">
        <f>IF(OR(AS49="",AT49=""),"",AS49*AT49)</f>
        <v/>
      </c>
      <c r="AV49" s="21">
        <f>IF(AU49="","",INDEX(Settings!$A$20:$A$23,MATCH(AU49,Settings!$B$20:$B$23,1)))</f>
        <v/>
      </c>
      <c r="AW49" s="21">
        <f>IF(AV49&lt;&gt;"",AV49,T49)</f>
        <v/>
      </c>
      <c r="AX49" s="21">
        <f>IF(AW49="","",IF(MATCH(AW49,Settings!$A$20:$A$23,0)&lt;=MATCH(Settings!$C$28,Settings!$A$20:$A$23,0),"Yes","No"))</f>
        <v/>
      </c>
      <c r="AY49" s="81">
        <f>IF(AW49="","",IF(AX49="Yes",INDEX(Settings!$G$20:$G$23,MATCH(AW49,Settings!$A$20:$A$23,0)),INDEX(Settings!$G$20:$G$23,MATCH(AW49,Settings!$A$20:$A$23,0))&amp;" (outside appetite)"))</f>
        <v/>
      </c>
      <c r="AZ49" s="82" t="n"/>
      <c r="BA49" s="82" t="n"/>
      <c r="BB49" s="89" t="n"/>
      <c r="BC49" s="90">
        <f>IF(OR(BB49="",T49=""),"",BB49+INDEX(Settings!$E$20:$E$23,MATCH(T49,Settings!$A$20:$A$23,0)))</f>
        <v/>
      </c>
      <c r="BD49" s="89" t="n"/>
      <c r="BE49" s="82" t="n"/>
      <c r="BF49" s="81">
        <f>IF(A49="","",IF(OR(BE49="Closed",BE49="Accepted"),"No action",IF(BB49="","Set date identified",IF(TODAY()&gt;BC49,"Deadline exceeded",IF(BC49-TODAY()&lt;=Settings!$C$30,"Deadline approaching","On track")))))</f>
        <v/>
      </c>
      <c r="BG49" s="89" t="n"/>
      <c r="BH49" s="89" t="n"/>
      <c r="BI49" s="90">
        <f>IF(OR(BH49="",AW49=""),"",EDATE(BH49,INDEX(Settings!$F$20:$F$23,MATCH(AW49,Settings!$A$20:$A$23,0))))</f>
        <v/>
      </c>
      <c r="BJ49" s="21">
        <f>IF(T49="","",IF(MAX(IF(T49="",0,MATCH(T49,Settings!$A$20:$A$23,0)),IF(AV49="",0,MATCH(AV49,Settings!$A$20:$A$23,0)))&gt;=MATCH(Settings!$C$29,Settings!$A$20:$A$23,0),"Yes","No"))</f>
        <v/>
      </c>
      <c r="BK49" s="82" t="n"/>
      <c r="BL49" s="81">
        <f>IF(A49="","",IF(TRIM(IF(W49="","Treatment not chosen. ","")&amp;IF(AND(W49="Accept",AX49="No"),"Accepted outside appetite: record approval by "&amp;INDEX(Settings!$G$20:$G$23,MATCH(AW49,Settings!$A$20:$A$23,0))&amp;". ","")&amp;IF(AND(W49="Accept",BG49=""),"Acceptance expiry missing. ","")&amp;IF(AND(BG49&lt;&gt;"",BG49&lt;TODAY()),"Acceptance expired. ","")&amp;IF(AND(W49&lt;&gt;"",W49&lt;&gt;"Accept",AV49=""),"Target rating not set. ","")&amp;IF(AND(BE49="Closed",AX49="No"),"Closed while outside appetite. ","")&amp;IF(AND(W49="Transfer",BE49&lt;&gt;"Transferred",BE49&lt;&gt;"Closed"),"Transfer: record the contract, SLA and audit rights. ","")&amp;IF(AZ49="","Risk owner missing. ","")&amp;IF(K49="","Scenario not written. ",""))="","OK",TRIM(IF(W49="","Treatment not chosen. ","")&amp;IF(AND(W49="Accept",AX49="No"),"Accepted outside appetite: record approval by "&amp;INDEX(Settings!$G$20:$G$23,MATCH(AW49,Settings!$A$20:$A$23,0))&amp;". ","")&amp;IF(AND(W49="Accept",BG49=""),"Acceptance expiry missing. ","")&amp;IF(AND(BG49&lt;&gt;"",BG49&lt;TODAY()),"Acceptance expired. ","")&amp;IF(AND(W49&lt;&gt;"",W49&lt;&gt;"Accept",AV49=""),"Target rating not set. ","")&amp;IF(AND(BE49="Closed",AX49="No"),"Closed while outside appetite. ","")&amp;IF(AND(W49="Transfer",BE49&lt;&gt;"Transferred",BE49&lt;&gt;"Closed"),"Transfer: record the contract, SLA and audit rights. ","")&amp;IF(AZ49="","Risk owner missing. ","")&amp;IF(K49="","Scenario not written. ",""))))</f>
        <v/>
      </c>
      <c r="BM49" s="82" t="inlineStr">
        <is>
          <t>Wiki example ratings: likelihood Medium, impact High, residual High, priority 45.</t>
        </is>
      </c>
    </row>
    <row r="50" ht="105" customHeight="1">
      <c r="A50" s="91" t="inlineStr">
        <is>
          <t>AI-R46</t>
        </is>
      </c>
      <c r="B50" s="92" t="inlineStr">
        <is>
          <t>Insider Use of Agents to Exceed Own Access</t>
        </is>
      </c>
      <c r="C50" s="80" t="inlineStr">
        <is>
          <t>05</t>
        </is>
      </c>
      <c r="D50" s="81">
        <f>IF(C50="","",IFERROR(INDEX(Lists!$O$2:$O$13,MATCH(C50,Lists!$N$2:$N$13,0)),"Check domain code"))</f>
        <v/>
      </c>
      <c r="E50" s="81">
        <f>IF(C50="","",IFERROR(INDEX(Lists!$P$2:$P$13,MATCH(C50,Lists!$N$2:$N$13,0)),""))</f>
        <v/>
      </c>
      <c r="F50" s="80" t="n"/>
      <c r="G50" s="82" t="inlineStr">
        <is>
          <t>Enterprise-wide (all AI use)</t>
        </is>
      </c>
      <c r="H50" s="82" t="n"/>
      <c r="I50" s="82" t="n"/>
      <c r="J50" s="93" t="inlineStr">
        <is>
          <t>An employee can ask an agent that holds broader permissions to read or do things the employee could not do directly. This turns the agent into a way around access controls. Required controls include agents acting with the requesting user's permissions, not a broader service identity, checks on the user's entitlement at each action, and logging that names both the user and the agent. Adapted from AI Risk Map domain 05 (Security and Adversarial Threats).</t>
        </is>
      </c>
      <c r="K50" s="82" t="n"/>
      <c r="L50" s="82" t="n"/>
      <c r="M50" s="94" t="inlineStr">
        <is>
          <t>E12</t>
        </is>
      </c>
      <c r="N50" s="21">
        <f>IF(COUNTIF(Triage!$E$6:$E$48,"Yes")+COUNTIF(Triage!$E$6:$E$48,"No")=0,"Not triaged",IF(SUMPRODUCT(COUNTIFS(Triage!$A$6:$A$48,{"E12"},Triage!$E$6:$E$48,"Yes"))&gt;0,"Applies","Not triggered"))</f>
        <v/>
      </c>
      <c r="O50" s="82" t="n"/>
      <c r="P50" s="85" t="n"/>
      <c r="Q50" s="85" t="n">
        <v>2</v>
      </c>
      <c r="R50" s="85" t="n">
        <v>3</v>
      </c>
      <c r="S50" s="21">
        <f>IF(OR(Q50="",R50=""),"",Q50*R50)</f>
        <v/>
      </c>
      <c r="T50" s="21">
        <f>IF(S50="","",INDEX(Settings!$A$20:$A$23,MATCH(S50,Settings!$B$20:$B$23,1)))</f>
        <v/>
      </c>
      <c r="U50" s="82" t="inlineStr">
        <is>
          <t>Qualitative (4 x 4)</t>
        </is>
      </c>
      <c r="V50" s="86" t="n"/>
      <c r="W50" s="85" t="n"/>
      <c r="X50" s="82" t="n"/>
      <c r="Y50" s="95" t="inlineStr">
        <is>
          <t>AI-CTRL-015, AI-CTRL-016, AI-CTRL-006</t>
        </is>
      </c>
      <c r="Z50" s="95" t="inlineStr">
        <is>
          <t>AI-CTRL-015, AI-CTRL-016, AI-CTRL-006</t>
        </is>
      </c>
      <c r="AA50" s="95" t="inlineStr">
        <is>
          <t>Agent acts with the requesting user's permissions; entitlement checks per action; dual-identity logging</t>
        </is>
      </c>
      <c r="AB50" s="95" t="inlineStr">
        <is>
          <t>Delegation design; entitlement check tests; logs naming user and agent</t>
        </is>
      </c>
      <c r="AC50" s="95" t="inlineStr">
        <is>
          <t>A.4.2; A.6.2.6</t>
        </is>
      </c>
      <c r="AD50" s="95" t="inlineStr">
        <is>
          <t>A.5.15; A.5.16; A.5.17; A.5.18; A.8.2; A.8.3; A.8.5; A.8.15; A.8.16</t>
        </is>
      </c>
      <c r="AE50" s="95" t="inlineStr">
        <is>
          <t>GOVERN 1.6; MANAGE 1.3; MEASURE 2.4; MEASURE 2.7; MEASURE 2.8</t>
        </is>
      </c>
      <c r="AF50" s="95" t="inlineStr">
        <is>
          <t>ASI03; ASI07; ASI10; LLM06:2025</t>
        </is>
      </c>
      <c r="AG50" s="95" t="inlineStr">
        <is>
          <t>AML.T0012; AML.T0055; AML.T0073; AML.T0081; AML.T0083; AML.T0091; AML.T0098</t>
        </is>
      </c>
      <c r="AH50" s="95" t="inlineStr">
        <is>
          <t>Not checked</t>
        </is>
      </c>
      <c r="AI50" s="95" t="inlineStr">
        <is>
          <t>DE.CM; PR.AA</t>
        </is>
      </c>
      <c r="AJ50" s="96" t="inlineStr">
        <is>
          <t>CIS 5; CIS 6; CIS 8</t>
        </is>
      </c>
      <c r="AK50" s="95" t="inlineStr">
        <is>
          <t>CC6.1; CC6.2; CC6.3; CC7.2</t>
        </is>
      </c>
      <c r="AL50" s="95" t="inlineStr">
        <is>
          <t>None</t>
        </is>
      </c>
      <c r="AM50" s="95" t="inlineStr">
        <is>
          <t>05 AI access and identity</t>
        </is>
      </c>
      <c r="AN50" s="95" t="inlineStr">
        <is>
          <t>MCP07:2025</t>
        </is>
      </c>
      <c r="AO50" s="95" t="inlineStr">
        <is>
          <t>None</t>
        </is>
      </c>
      <c r="AP50" s="95" t="inlineStr">
        <is>
          <t>None</t>
        </is>
      </c>
      <c r="AQ50" s="96" t="n">
        <v>2</v>
      </c>
      <c r="AR50" s="96" t="n">
        <v>104</v>
      </c>
      <c r="AS50" s="85" t="n"/>
      <c r="AT50" s="85" t="n"/>
      <c r="AU50" s="21">
        <f>IF(OR(AS50="",AT50=""),"",AS50*AT50)</f>
        <v/>
      </c>
      <c r="AV50" s="21">
        <f>IF(AU50="","",INDEX(Settings!$A$20:$A$23,MATCH(AU50,Settings!$B$20:$B$23,1)))</f>
        <v/>
      </c>
      <c r="AW50" s="21">
        <f>IF(AV50&lt;&gt;"",AV50,T50)</f>
        <v/>
      </c>
      <c r="AX50" s="21">
        <f>IF(AW50="","",IF(MATCH(AW50,Settings!$A$20:$A$23,0)&lt;=MATCH(Settings!$C$28,Settings!$A$20:$A$23,0),"Yes","No"))</f>
        <v/>
      </c>
      <c r="AY50" s="81">
        <f>IF(AW50="","",IF(AX50="Yes",INDEX(Settings!$G$20:$G$23,MATCH(AW50,Settings!$A$20:$A$23,0)),INDEX(Settings!$G$20:$G$23,MATCH(AW50,Settings!$A$20:$A$23,0))&amp;" (outside appetite)"))</f>
        <v/>
      </c>
      <c r="AZ50" s="82" t="n"/>
      <c r="BA50" s="82" t="n"/>
      <c r="BB50" s="89" t="n"/>
      <c r="BC50" s="90">
        <f>IF(OR(BB50="",T50=""),"",BB50+INDEX(Settings!$E$20:$E$23,MATCH(T50,Settings!$A$20:$A$23,0)))</f>
        <v/>
      </c>
      <c r="BD50" s="89" t="n"/>
      <c r="BE50" s="82" t="n"/>
      <c r="BF50" s="81">
        <f>IF(A50="","",IF(OR(BE50="Closed",BE50="Accepted"),"No action",IF(BB50="","Set date identified",IF(TODAY()&gt;BC50,"Deadline exceeded",IF(BC50-TODAY()&lt;=Settings!$C$30,"Deadline approaching","On track")))))</f>
        <v/>
      </c>
      <c r="BG50" s="89" t="n"/>
      <c r="BH50" s="89" t="n"/>
      <c r="BI50" s="90">
        <f>IF(OR(BH50="",AW50=""),"",EDATE(BH50,INDEX(Settings!$F$20:$F$23,MATCH(AW50,Settings!$A$20:$A$23,0))))</f>
        <v/>
      </c>
      <c r="BJ50" s="21">
        <f>IF(T50="","",IF(MAX(IF(T50="",0,MATCH(T50,Settings!$A$20:$A$23,0)),IF(AV50="",0,MATCH(AV50,Settings!$A$20:$A$23,0)))&gt;=MATCH(Settings!$C$29,Settings!$A$20:$A$23,0),"Yes","No"))</f>
        <v/>
      </c>
      <c r="BK50" s="82" t="n"/>
      <c r="BL50" s="81">
        <f>IF(A50="","",IF(TRIM(IF(W50="","Treatment not chosen. ","")&amp;IF(AND(W50="Accept",AX50="No"),"Accepted outside appetite: record approval by "&amp;INDEX(Settings!$G$20:$G$23,MATCH(AW50,Settings!$A$20:$A$23,0))&amp;". ","")&amp;IF(AND(W50="Accept",BG50=""),"Acceptance expiry missing. ","")&amp;IF(AND(BG50&lt;&gt;"",BG50&lt;TODAY()),"Acceptance expired. ","")&amp;IF(AND(W50&lt;&gt;"",W50&lt;&gt;"Accept",AV50=""),"Target rating not set. ","")&amp;IF(AND(BE50="Closed",AX50="No"),"Closed while outside appetite. ","")&amp;IF(AND(W50="Transfer",BE50&lt;&gt;"Transferred",BE50&lt;&gt;"Closed"),"Transfer: record the contract, SLA and audit rights. ","")&amp;IF(AZ50="","Risk owner missing. ","")&amp;IF(K50="","Scenario not written. ",""))="","OK",TRIM(IF(W50="","Treatment not chosen. ","")&amp;IF(AND(W50="Accept",AX50="No"),"Accepted outside appetite: record approval by "&amp;INDEX(Settings!$G$20:$G$23,MATCH(AW50,Settings!$A$20:$A$23,0))&amp;". ","")&amp;IF(AND(W50="Accept",BG50=""),"Acceptance expiry missing. ","")&amp;IF(AND(BG50&lt;&gt;"",BG50&lt;TODAY()),"Acceptance expired. ","")&amp;IF(AND(W50&lt;&gt;"",W50&lt;&gt;"Accept",AV50=""),"Target rating not set. ","")&amp;IF(AND(BE50="Closed",AX50="No"),"Closed while outside appetite. ","")&amp;IF(AND(W50="Transfer",BE50&lt;&gt;"Transferred",BE50&lt;&gt;"Closed"),"Transfer: record the contract, SLA and audit rights. ","")&amp;IF(AZ50="","Risk owner missing. ","")&amp;IF(K50="","Scenario not written. ",""))))</f>
        <v/>
      </c>
      <c r="BM50" s="82" t="inlineStr">
        <is>
          <t>Wiki example ratings: likelihood Medium, impact High, residual High, priority 46.</t>
        </is>
      </c>
    </row>
    <row r="51" ht="105" customHeight="1">
      <c r="A51" s="78" t="inlineStr">
        <is>
          <t>AI-R47</t>
        </is>
      </c>
      <c r="B51" s="79" t="inlineStr">
        <is>
          <t>Model Extraction and Inference Attacks</t>
        </is>
      </c>
      <c r="C51" s="80" t="inlineStr">
        <is>
          <t>05</t>
        </is>
      </c>
      <c r="D51" s="81">
        <f>IF(C51="","",IFERROR(INDEX(Lists!$O$2:$O$13,MATCH(C51,Lists!$N$2:$N$13,0)),"Check domain code"))</f>
        <v/>
      </c>
      <c r="E51" s="81">
        <f>IF(C51="","",IFERROR(INDEX(Lists!$P$2:$P$13,MATCH(C51,Lists!$N$2:$N$13,0)),""))</f>
        <v/>
      </c>
      <c r="F51" s="80" t="n"/>
      <c r="G51" s="82" t="inlineStr">
        <is>
          <t>Enterprise-wide (all AI use)</t>
        </is>
      </c>
      <c r="H51" s="82" t="n"/>
      <c r="I51" s="82" t="n"/>
      <c r="J51" s="83" t="inlineStr">
        <is>
          <t>An attacker who can query a model at volume can copy its behaviour into a model of their own, or work out whether a given record was in its training data. Both are possible through an ordinary API or chat interface, without access to the model files. AI-R08 covers the supply chain and AI-R06 covers data leaking in outputs; this risk covers attacks that use the model's answers to steal the model or reveal its training data. Required controls include rate limits and query-pattern detection, limits on how much detail outputs reveal (such as confidence scores), and extraction and membership inference testing before release. Adapted from AI Risk Map domain 05 (Security and Adversarial Threats). Also named in NIST AI 100-2 as model extraction and membership inference (see the NIST AI 100-2 Crosswalk).</t>
        </is>
      </c>
      <c r="K51" s="82" t="n"/>
      <c r="L51" s="82" t="n"/>
      <c r="M51" s="84" t="inlineStr">
        <is>
          <t>E13</t>
        </is>
      </c>
      <c r="N51" s="21">
        <f>IF(COUNTIF(Triage!$E$6:$E$48,"Yes")+COUNTIF(Triage!$E$6:$E$48,"No")=0,"Not triaged",IF(SUMPRODUCT(COUNTIFS(Triage!$A$6:$A$48,{"E13"},Triage!$E$6:$E$48,"Yes"))&gt;0,"Applies","Not triggered"))</f>
        <v/>
      </c>
      <c r="O51" s="82" t="n"/>
      <c r="P51" s="85" t="n"/>
      <c r="Q51" s="85" t="n">
        <v>2</v>
      </c>
      <c r="R51" s="85" t="n">
        <v>3</v>
      </c>
      <c r="S51" s="21">
        <f>IF(OR(Q51="",R51=""),"",Q51*R51)</f>
        <v/>
      </c>
      <c r="T51" s="21">
        <f>IF(S51="","",INDEX(Settings!$A$20:$A$23,MATCH(S51,Settings!$B$20:$B$23,1)))</f>
        <v/>
      </c>
      <c r="U51" s="82" t="inlineStr">
        <is>
          <t>Qualitative (4 x 4)</t>
        </is>
      </c>
      <c r="V51" s="86" t="n"/>
      <c r="W51" s="85" t="n"/>
      <c r="X51" s="82" t="n"/>
      <c r="Y51" s="87" t="inlineStr">
        <is>
          <t>AI-CTRL-028, AI-CTRL-036, AI-CTRL-009, AI-CTRL-034</t>
        </is>
      </c>
      <c r="Z51" s="87" t="inlineStr">
        <is>
          <t>AI-CTRL-036</t>
        </is>
      </c>
      <c r="AA51" s="87" t="inlineStr">
        <is>
          <t>Rate limits and query-pattern detection; limits on output detail; extraction and membership inference testing</t>
        </is>
      </c>
      <c r="AB51" s="87" t="inlineStr">
        <is>
          <t>Rate limit settings; query-pattern alerts; extraction and inference test results</t>
        </is>
      </c>
      <c r="AC51" s="87" t="inlineStr">
        <is>
          <t>A.4.5; A.6.2.4; A.6.2.6; A.6.2.8</t>
        </is>
      </c>
      <c r="AD51" s="87" t="inlineStr">
        <is>
          <t>A.5.7; A.5.15; A.5.25; A.5.37; A.8.3; A.8.6; A.8.8; A.8.12; A.8.15; A.8.16; A.8.24; A.8.29; A.8.34</t>
        </is>
      </c>
      <c r="AE51" s="87" t="inlineStr">
        <is>
          <t>GOVERN 4.3; MANAGE 4.1; MEASURE 2.1; MEASURE 2.4; MEASURE 2.5; MEASURE 2.6; MEASURE 2.7; MEASURE 3.1</t>
        </is>
      </c>
      <c r="AF51" s="87" t="inlineStr">
        <is>
          <t>LLM01:2025; LLM02:2025; LLM03:2025; LLM04:2025; LLM05:2025; LLM06:2025; LLM07:2025; LLM08:2025; LLM09:2025; LLM10:2025</t>
        </is>
      </c>
      <c r="AG51" s="87" t="inlineStr">
        <is>
          <t>AML.T0015; AML.T0018; AML.T0024; AML.T0029; AML.T0034; AML.T0043; AML.T0044; AML.T0046</t>
        </is>
      </c>
      <c r="AH51" s="87" t="inlineStr">
        <is>
          <t>Not checked</t>
        </is>
      </c>
      <c r="AI51" s="87" t="inlineStr">
        <is>
          <t>DE.AE; DE.CM; ID.IM; ID.RA; PR.AA; PR.DS; PR.IR</t>
        </is>
      </c>
      <c r="AJ51" s="88" t="inlineStr">
        <is>
          <t>CIS 3; CIS 6; CIS 7; CIS 8; CIS 13; CIS 18</t>
        </is>
      </c>
      <c r="AK51" s="87" t="inlineStr">
        <is>
          <t>A1.1; C1.1; CC4.1; CC6.1; CC6.7; CC7.1; CC7.2; CC7.3</t>
        </is>
      </c>
      <c r="AL51" s="87" t="inlineStr">
        <is>
          <t>None</t>
        </is>
      </c>
      <c r="AM51" s="87" t="inlineStr">
        <is>
          <t>05 Model attacks</t>
        </is>
      </c>
      <c r="AN51" s="87" t="inlineStr">
        <is>
          <t>None</t>
        </is>
      </c>
      <c r="AO51" s="87" t="inlineStr">
        <is>
          <t>None</t>
        </is>
      </c>
      <c r="AP51" s="87" t="inlineStr">
        <is>
          <t>None</t>
        </is>
      </c>
      <c r="AQ51" s="88" t="n">
        <v>1</v>
      </c>
      <c r="AR51" s="88" t="n">
        <v>107</v>
      </c>
      <c r="AS51" s="85" t="n"/>
      <c r="AT51" s="85" t="n"/>
      <c r="AU51" s="21">
        <f>IF(OR(AS51="",AT51=""),"",AS51*AT51)</f>
        <v/>
      </c>
      <c r="AV51" s="21">
        <f>IF(AU51="","",INDEX(Settings!$A$20:$A$23,MATCH(AU51,Settings!$B$20:$B$23,1)))</f>
        <v/>
      </c>
      <c r="AW51" s="21">
        <f>IF(AV51&lt;&gt;"",AV51,T51)</f>
        <v/>
      </c>
      <c r="AX51" s="21">
        <f>IF(AW51="","",IF(MATCH(AW51,Settings!$A$20:$A$23,0)&lt;=MATCH(Settings!$C$28,Settings!$A$20:$A$23,0),"Yes","No"))</f>
        <v/>
      </c>
      <c r="AY51" s="81">
        <f>IF(AW51="","",IF(AX51="Yes",INDEX(Settings!$G$20:$G$23,MATCH(AW51,Settings!$A$20:$A$23,0)),INDEX(Settings!$G$20:$G$23,MATCH(AW51,Settings!$A$20:$A$23,0))&amp;" (outside appetite)"))</f>
        <v/>
      </c>
      <c r="AZ51" s="82" t="n"/>
      <c r="BA51" s="82" t="n"/>
      <c r="BB51" s="89" t="n"/>
      <c r="BC51" s="90">
        <f>IF(OR(BB51="",T51=""),"",BB51+INDEX(Settings!$E$20:$E$23,MATCH(T51,Settings!$A$20:$A$23,0)))</f>
        <v/>
      </c>
      <c r="BD51" s="89" t="n"/>
      <c r="BE51" s="82" t="n"/>
      <c r="BF51" s="81">
        <f>IF(A51="","",IF(OR(BE51="Closed",BE51="Accepted"),"No action",IF(BB51="","Set date identified",IF(TODAY()&gt;BC51,"Deadline exceeded",IF(BC51-TODAY()&lt;=Settings!$C$30,"Deadline approaching","On track")))))</f>
        <v/>
      </c>
      <c r="BG51" s="89" t="n"/>
      <c r="BH51" s="89" t="n"/>
      <c r="BI51" s="90">
        <f>IF(OR(BH51="",AW51=""),"",EDATE(BH51,INDEX(Settings!$F$20:$F$23,MATCH(AW51,Settings!$A$20:$A$23,0))))</f>
        <v/>
      </c>
      <c r="BJ51" s="21">
        <f>IF(T51="","",IF(MAX(IF(T51="",0,MATCH(T51,Settings!$A$20:$A$23,0)),IF(AV51="",0,MATCH(AV51,Settings!$A$20:$A$23,0)))&gt;=MATCH(Settings!$C$29,Settings!$A$20:$A$23,0),"Yes","No"))</f>
        <v/>
      </c>
      <c r="BK51" s="82" t="n"/>
      <c r="BL51" s="81">
        <f>IF(A51="","",IF(TRIM(IF(W51="","Treatment not chosen. ","")&amp;IF(AND(W51="Accept",AX51="No"),"Accepted outside appetite: record approval by "&amp;INDEX(Settings!$G$20:$G$23,MATCH(AW51,Settings!$A$20:$A$23,0))&amp;". ","")&amp;IF(AND(W51="Accept",BG51=""),"Acceptance expiry missing. ","")&amp;IF(AND(BG51&lt;&gt;"",BG51&lt;TODAY()),"Acceptance expired. ","")&amp;IF(AND(W51&lt;&gt;"",W51&lt;&gt;"Accept",AV51=""),"Target rating not set. ","")&amp;IF(AND(BE51="Closed",AX51="No"),"Closed while outside appetite. ","")&amp;IF(AND(W51="Transfer",BE51&lt;&gt;"Transferred",BE51&lt;&gt;"Closed"),"Transfer: record the contract, SLA and audit rights. ","")&amp;IF(AZ51="","Risk owner missing. ","")&amp;IF(K51="","Scenario not written. ",""))="","OK",TRIM(IF(W51="","Treatment not chosen. ","")&amp;IF(AND(W51="Accept",AX51="No"),"Accepted outside appetite: record approval by "&amp;INDEX(Settings!$G$20:$G$23,MATCH(AW51,Settings!$A$20:$A$23,0))&amp;". ","")&amp;IF(AND(W51="Accept",BG51=""),"Acceptance expiry missing. ","")&amp;IF(AND(BG51&lt;&gt;"",BG51&lt;TODAY()),"Acceptance expired. ","")&amp;IF(AND(W51&lt;&gt;"",W51&lt;&gt;"Accept",AV51=""),"Target rating not set. ","")&amp;IF(AND(BE51="Closed",AX51="No"),"Closed while outside appetite. ","")&amp;IF(AND(W51="Transfer",BE51&lt;&gt;"Transferred",BE51&lt;&gt;"Closed"),"Transfer: record the contract, SLA and audit rights. ","")&amp;IF(AZ51="","Risk owner missing. ","")&amp;IF(K51="","Scenario not written. ",""))))</f>
        <v/>
      </c>
      <c r="BM51" s="82" t="inlineStr">
        <is>
          <t>Wiki example ratings: likelihood Medium, impact High, residual Medium, priority 47.</t>
        </is>
      </c>
    </row>
    <row r="52" ht="105" customHeight="1">
      <c r="A52" s="91" t="inlineStr">
        <is>
          <t>AI-R48</t>
        </is>
      </c>
      <c r="B52" s="92" t="inlineStr">
        <is>
          <t>AI Incidents Not Recognised or Handled</t>
        </is>
      </c>
      <c r="C52" s="80" t="inlineStr">
        <is>
          <t>07</t>
        </is>
      </c>
      <c r="D52" s="81">
        <f>IF(C52="","",IFERROR(INDEX(Lists!$O$2:$O$13,MATCH(C52,Lists!$N$2:$N$13,0)),"Check domain code"))</f>
        <v/>
      </c>
      <c r="E52" s="81">
        <f>IF(C52="","",IFERROR(INDEX(Lists!$P$2:$P$13,MATCH(C52,Lists!$N$2:$N$13,0)),""))</f>
        <v/>
      </c>
      <c r="F52" s="80" t="n"/>
      <c r="G52" s="82" t="inlineStr">
        <is>
          <t>Enterprise-wide (all AI use)</t>
        </is>
      </c>
      <c r="H52" s="82" t="n"/>
      <c r="I52" s="82" t="n"/>
      <c r="J52" s="93" t="inlineStr">
        <is>
          <t>An incident response plan written for conventional systems may not recognise an AI incident, such as a successful prompt injection, an agent acting outside its task, harmful output reaching customers or a model behaving differently after a provider change. Such events can go unreported, be closed as user error, or miss legal reporting deadlines. Required controls include AI incident categories and severity criteria in the response plan, routing of AI alerts to the security operations team, the evidence to preserve for each AI component, exercises that use AI scenarios, and a record of which incidents must be reported to which authority. Adapted from AI Risk Map domain 07 (Operations and Resilience). Also named in the EU AI Act, Article 73, as serious incident reporting for high-risk systems (see the EU AI Regulatory Hub).</t>
        </is>
      </c>
      <c r="K52" s="82" t="n"/>
      <c r="L52" s="82" t="n"/>
      <c r="M52" s="94" t="inlineStr">
        <is>
          <t>E19</t>
        </is>
      </c>
      <c r="N52" s="21">
        <f>IF(COUNTIF(Triage!$E$6:$E$48,"Yes")+COUNTIF(Triage!$E$6:$E$48,"No")=0,"Not triaged",IF(SUMPRODUCT(COUNTIFS(Triage!$A$6:$A$48,{"E19"},Triage!$E$6:$E$48,"Yes"))&gt;0,"Applies","Not triggered"))</f>
        <v/>
      </c>
      <c r="O52" s="82" t="n"/>
      <c r="P52" s="85" t="n"/>
      <c r="Q52" s="85" t="n">
        <v>2</v>
      </c>
      <c r="R52" s="85" t="n">
        <v>3</v>
      </c>
      <c r="S52" s="21">
        <f>IF(OR(Q52="",R52=""),"",Q52*R52)</f>
        <v/>
      </c>
      <c r="T52" s="21">
        <f>IF(S52="","",INDEX(Settings!$A$20:$A$23,MATCH(S52,Settings!$B$20:$B$23,1)))</f>
        <v/>
      </c>
      <c r="U52" s="82" t="inlineStr">
        <is>
          <t>Qualitative (4 x 4)</t>
        </is>
      </c>
      <c r="V52" s="86" t="n"/>
      <c r="W52" s="85" t="n"/>
      <c r="X52" s="82" t="n"/>
      <c r="Y52" s="95" t="inlineStr">
        <is>
          <t>AI-CTRL-035, AI-CTRL-009, AI-CTRL-043, AI-CTRL-008</t>
        </is>
      </c>
      <c r="Z52" s="95" t="inlineStr">
        <is>
          <t>AI-CTRL-035, AI-CTRL-008</t>
        </is>
      </c>
      <c r="AA52" s="95" t="inlineStr">
        <is>
          <t>AI incident categories and severity; AI alert routing; evidence preservation; AI scenario exercises; reporting duties</t>
        </is>
      </c>
      <c r="AB52" s="95" t="inlineStr">
        <is>
          <t>Response plan with AI categories; triage records; exercise reports; authority notification log</t>
        </is>
      </c>
      <c r="AC52" s="95" t="inlineStr">
        <is>
          <t>A.3.3; A.6.2.6; A.6.2.8; A.8.3; A.8.4; A.8.5; Clause 4.2</t>
        </is>
      </c>
      <c r="AD52" s="95" t="inlineStr">
        <is>
          <t>A.5.5; A.5.6; A.5.24; A.5.25; A.5.26; A.5.27; A.5.28; A.5.31; A.5.33; A.5.37; A.6.8; A.8.15; A.8.16; A.8.17</t>
        </is>
      </c>
      <c r="AE52" s="95" t="inlineStr">
        <is>
          <t>GOVERN 1.1; GOVERN 4.3; GOVERN 5.1; GOVERN 6.2; MANAGE 2.3; MANAGE 4.1; MANAGE 4.3; MEASURE 2.4; MEASURE 2.8; MEASURE 3.1</t>
        </is>
      </c>
      <c r="AF52" s="95" t="inlineStr"/>
      <c r="AG52" s="95" t="inlineStr"/>
      <c r="AH52" s="95" t="inlineStr">
        <is>
          <t>Not checked</t>
        </is>
      </c>
      <c r="AI52" s="95" t="inlineStr">
        <is>
          <t>DE.AE; DE.CM; GV.OC; PR.PS; RC.RP; RS.AN; RS.CO; RS.MA; RS.MI</t>
        </is>
      </c>
      <c r="AJ52" s="96" t="inlineStr">
        <is>
          <t>CIS 8; CIS 13; CIS 17</t>
        </is>
      </c>
      <c r="AK52" s="95" t="inlineStr">
        <is>
          <t>CC2.3; CC7.2; CC7.3; CC7.4; CC7.5</t>
        </is>
      </c>
      <c r="AL52" s="95" t="inlineStr">
        <is>
          <t>None</t>
        </is>
      </c>
      <c r="AM52" s="95" t="inlineStr">
        <is>
          <t>07 Incident management</t>
        </is>
      </c>
      <c r="AN52" s="95" t="inlineStr">
        <is>
          <t>None</t>
        </is>
      </c>
      <c r="AO52" s="95" t="inlineStr">
        <is>
          <t>None</t>
        </is>
      </c>
      <c r="AP52" s="95" t="inlineStr">
        <is>
          <t>None</t>
        </is>
      </c>
      <c r="AQ52" s="96" t="n">
        <v>1</v>
      </c>
      <c r="AR52" s="96" t="n">
        <v>82</v>
      </c>
      <c r="AS52" s="85" t="n"/>
      <c r="AT52" s="85" t="n"/>
      <c r="AU52" s="21">
        <f>IF(OR(AS52="",AT52=""),"",AS52*AT52)</f>
        <v/>
      </c>
      <c r="AV52" s="21">
        <f>IF(AU52="","",INDEX(Settings!$A$20:$A$23,MATCH(AU52,Settings!$B$20:$B$23,1)))</f>
        <v/>
      </c>
      <c r="AW52" s="21">
        <f>IF(AV52&lt;&gt;"",AV52,T52)</f>
        <v/>
      </c>
      <c r="AX52" s="21">
        <f>IF(AW52="","",IF(MATCH(AW52,Settings!$A$20:$A$23,0)&lt;=MATCH(Settings!$C$28,Settings!$A$20:$A$23,0),"Yes","No"))</f>
        <v/>
      </c>
      <c r="AY52" s="81">
        <f>IF(AW52="","",IF(AX52="Yes",INDEX(Settings!$G$20:$G$23,MATCH(AW52,Settings!$A$20:$A$23,0)),INDEX(Settings!$G$20:$G$23,MATCH(AW52,Settings!$A$20:$A$23,0))&amp;" (outside appetite)"))</f>
        <v/>
      </c>
      <c r="AZ52" s="82" t="n"/>
      <c r="BA52" s="82" t="n"/>
      <c r="BB52" s="89" t="n"/>
      <c r="BC52" s="90">
        <f>IF(OR(BB52="",T52=""),"",BB52+INDEX(Settings!$E$20:$E$23,MATCH(T52,Settings!$A$20:$A$23,0)))</f>
        <v/>
      </c>
      <c r="BD52" s="89" t="n"/>
      <c r="BE52" s="82" t="n"/>
      <c r="BF52" s="81">
        <f>IF(A52="","",IF(OR(BE52="Closed",BE52="Accepted"),"No action",IF(BB52="","Set date identified",IF(TODAY()&gt;BC52,"Deadline exceeded",IF(BC52-TODAY()&lt;=Settings!$C$30,"Deadline approaching","On track")))))</f>
        <v/>
      </c>
      <c r="BG52" s="89" t="n"/>
      <c r="BH52" s="89" t="n"/>
      <c r="BI52" s="90">
        <f>IF(OR(BH52="",AW52=""),"",EDATE(BH52,INDEX(Settings!$F$20:$F$23,MATCH(AW52,Settings!$A$20:$A$23,0))))</f>
        <v/>
      </c>
      <c r="BJ52" s="21">
        <f>IF(T52="","",IF(MAX(IF(T52="",0,MATCH(T52,Settings!$A$20:$A$23,0)),IF(AV52="",0,MATCH(AV52,Settings!$A$20:$A$23,0)))&gt;=MATCH(Settings!$C$29,Settings!$A$20:$A$23,0),"Yes","No"))</f>
        <v/>
      </c>
      <c r="BK52" s="82" t="n"/>
      <c r="BL52" s="81">
        <f>IF(A52="","",IF(TRIM(IF(W52="","Treatment not chosen. ","")&amp;IF(AND(W52="Accept",AX52="No"),"Accepted outside appetite: record approval by "&amp;INDEX(Settings!$G$20:$G$23,MATCH(AW52,Settings!$A$20:$A$23,0))&amp;". ","")&amp;IF(AND(W52="Accept",BG52=""),"Acceptance expiry missing. ","")&amp;IF(AND(BG52&lt;&gt;"",BG52&lt;TODAY()),"Acceptance expired. ","")&amp;IF(AND(W52&lt;&gt;"",W52&lt;&gt;"Accept",AV52=""),"Target rating not set. ","")&amp;IF(AND(BE52="Closed",AX52="No"),"Closed while outside appetite. ","")&amp;IF(AND(W52="Transfer",BE52&lt;&gt;"Transferred",BE52&lt;&gt;"Closed"),"Transfer: record the contract, SLA and audit rights. ","")&amp;IF(AZ52="","Risk owner missing. ","")&amp;IF(K52="","Scenario not written. ",""))="","OK",TRIM(IF(W52="","Treatment not chosen. ","")&amp;IF(AND(W52="Accept",AX52="No"),"Accepted outside appetite: record approval by "&amp;INDEX(Settings!$G$20:$G$23,MATCH(AW52,Settings!$A$20:$A$23,0))&amp;". ","")&amp;IF(AND(W52="Accept",BG52=""),"Acceptance expiry missing. ","")&amp;IF(AND(BG52&lt;&gt;"",BG52&lt;TODAY()),"Acceptance expired. ","")&amp;IF(AND(W52&lt;&gt;"",W52&lt;&gt;"Accept",AV52=""),"Target rating not set. ","")&amp;IF(AND(BE52="Closed",AX52="No"),"Closed while outside appetite. ","")&amp;IF(AND(W52="Transfer",BE52&lt;&gt;"Transferred",BE52&lt;&gt;"Closed"),"Transfer: record the contract, SLA and audit rights. ","")&amp;IF(AZ52="","Risk owner missing. ","")&amp;IF(K52="","Scenario not written. ",""))))</f>
        <v/>
      </c>
      <c r="BM52" s="82" t="inlineStr">
        <is>
          <t>Wiki example ratings: likelihood Medium, impact High, residual High, priority 48.</t>
        </is>
      </c>
    </row>
    <row r="53" ht="105" customHeight="1">
      <c r="A53" s="78" t="inlineStr">
        <is>
          <t>AI-R49</t>
        </is>
      </c>
      <c r="B53" s="79" t="inlineStr">
        <is>
          <t>Personal Data That Cannot Be Removed from Models</t>
        </is>
      </c>
      <c r="C53" s="80" t="inlineStr">
        <is>
          <t>03</t>
        </is>
      </c>
      <c r="D53" s="81">
        <f>IF(C53="","",IFERROR(INDEX(Lists!$O$2:$O$13,MATCH(C53,Lists!$N$2:$N$13,0)),"Check domain code"))</f>
        <v/>
      </c>
      <c r="E53" s="81">
        <f>IF(C53="","",IFERROR(INDEX(Lists!$P$2:$P$13,MATCH(C53,Lists!$N$2:$N$13,0)),""))</f>
        <v/>
      </c>
      <c r="F53" s="80" t="n"/>
      <c r="G53" s="82" t="inlineStr">
        <is>
          <t>Enterprise-wide (all AI use)</t>
        </is>
      </c>
      <c r="H53" s="82" t="n"/>
      <c r="I53" s="82" t="n"/>
      <c r="J53" s="83" t="inlineStr">
        <is>
          <t>Once personal data has been used to train or fine-tune a model, or copied into embeddings and caches, it may not be possible to delete it on request or at the end of its retention period. A model may also repeat it in outputs. Required controls include knowing which training, fine-tuning and retrieval stores hold personal data, a procedure for data subject requests that covers models, embeddings and replicated stores, filtering or retraining decisions when deletion is required, and an assessment of whether the model itself holds personal data before it is shared or reused. Adapted from AI Risk Map domain 03 (Data and Privacy). Also named in the GDPR (the right to erasure, Article 17) and in EDPB Opinion 28/2024 on AI models and personal data (see the EU AI Regulatory Hub).</t>
        </is>
      </c>
      <c r="K53" s="82" t="n"/>
      <c r="L53" s="82" t="n"/>
      <c r="M53" s="84" t="inlineStr">
        <is>
          <t>E14</t>
        </is>
      </c>
      <c r="N53" s="21">
        <f>IF(COUNTIF(Triage!$E$6:$E$48,"Yes")+COUNTIF(Triage!$E$6:$E$48,"No")=0,"Not triaged",IF(SUMPRODUCT(COUNTIFS(Triage!$A$6:$A$48,{"E14"},Triage!$E$6:$E$48,"Yes"))&gt;0,"Applies","Not triggered"))</f>
        <v/>
      </c>
      <c r="O53" s="82" t="n"/>
      <c r="P53" s="85" t="n"/>
      <c r="Q53" s="85" t="n">
        <v>2</v>
      </c>
      <c r="R53" s="85" t="n">
        <v>3</v>
      </c>
      <c r="S53" s="21">
        <f>IF(OR(Q53="",R53=""),"",Q53*R53)</f>
        <v/>
      </c>
      <c r="T53" s="21">
        <f>IF(S53="","",INDEX(Settings!$A$20:$A$23,MATCH(S53,Settings!$B$20:$B$23,1)))</f>
        <v/>
      </c>
      <c r="U53" s="82" t="inlineStr">
        <is>
          <t>Qualitative (4 x 4)</t>
        </is>
      </c>
      <c r="V53" s="86" t="n"/>
      <c r="W53" s="85" t="n"/>
      <c r="X53" s="82" t="n"/>
      <c r="Y53" s="87" t="inlineStr">
        <is>
          <t>AI-CTRL-013, AI-CTRL-017, AI-CTRL-029, AI-CTRL-042</t>
        </is>
      </c>
      <c r="Z53" s="87" t="inlineStr">
        <is>
          <t>AI-CTRL-013, AI-CTRL-017</t>
        </is>
      </c>
      <c r="AA53" s="87" t="inlineStr">
        <is>
          <t>Personal data mapped in training and retrieval stores; data subject requests covering models; filtering or retraining decisions</t>
        </is>
      </c>
      <c r="AB53" s="87" t="inlineStr">
        <is>
          <t>Data maps for training and retrieval; request handling records; impact assessments; retraining decisions</t>
        </is>
      </c>
      <c r="AC53" s="87" t="inlineStr">
        <is>
          <t>A.4.3; A.5.2; A.5.3; A.5.4; A.5.5; A.7.2; A.7.3; A.7.4; A.7.5; A.7.6</t>
        </is>
      </c>
      <c r="AD53" s="87" t="inlineStr">
        <is>
          <t>A.5.8; A.5.9; A.5.12; A.5.13; A.5.21; A.5.31; A.5.34; A.8.10; A.8.11; A.8.12; A.8.24; A.8.33</t>
        </is>
      </c>
      <c r="AE53" s="87" t="inlineStr">
        <is>
          <t>GOVERN 1.1; MAP 1.1; MAP 2.3; MAP 4.1; MAP 5.1; MEASURE 2.7; MEASURE 2.10</t>
        </is>
      </c>
      <c r="AF53" s="87" t="inlineStr">
        <is>
          <t>LLM02:2025; LLM04:2025</t>
        </is>
      </c>
      <c r="AG53" s="87" t="inlineStr">
        <is>
          <t>AML.T0020; AML.T0025; AML.T0057; AML.T0059; AML.T0085</t>
        </is>
      </c>
      <c r="AH53" s="87" t="inlineStr">
        <is>
          <t>Not checked</t>
        </is>
      </c>
      <c r="AI53" s="87" t="inlineStr">
        <is>
          <t>GV.OC; GV.SC; ID.AM; ID.RA; PR.DS</t>
        </is>
      </c>
      <c r="AJ53" s="88" t="inlineStr">
        <is>
          <t>CIS 3</t>
        </is>
      </c>
      <c r="AK53" s="87" t="inlineStr">
        <is>
          <t>C1.1; C1.2; CC3.2; CC6.1; CC6.7; P1.1; P3.1; P4.1; P4.2; P5.1; PI1.2</t>
        </is>
      </c>
      <c r="AL53" s="87" t="inlineStr">
        <is>
          <t>None</t>
        </is>
      </c>
      <c r="AM53" s="87" t="inlineStr">
        <is>
          <t>03 Privacy and consent; 03 Retention and disposal</t>
        </is>
      </c>
      <c r="AN53" s="87" t="inlineStr">
        <is>
          <t>None</t>
        </is>
      </c>
      <c r="AO53" s="87" t="inlineStr">
        <is>
          <t>None</t>
        </is>
      </c>
      <c r="AP53" s="87" t="inlineStr">
        <is>
          <t>None</t>
        </is>
      </c>
      <c r="AQ53" s="88" t="n">
        <v>2</v>
      </c>
      <c r="AR53" s="88" t="n">
        <v>94</v>
      </c>
      <c r="AS53" s="85" t="n"/>
      <c r="AT53" s="85" t="n"/>
      <c r="AU53" s="21">
        <f>IF(OR(AS53="",AT53=""),"",AS53*AT53)</f>
        <v/>
      </c>
      <c r="AV53" s="21">
        <f>IF(AU53="","",INDEX(Settings!$A$20:$A$23,MATCH(AU53,Settings!$B$20:$B$23,1)))</f>
        <v/>
      </c>
      <c r="AW53" s="21">
        <f>IF(AV53&lt;&gt;"",AV53,T53)</f>
        <v/>
      </c>
      <c r="AX53" s="21">
        <f>IF(AW53="","",IF(MATCH(AW53,Settings!$A$20:$A$23,0)&lt;=MATCH(Settings!$C$28,Settings!$A$20:$A$23,0),"Yes","No"))</f>
        <v/>
      </c>
      <c r="AY53" s="81">
        <f>IF(AW53="","",IF(AX53="Yes",INDEX(Settings!$G$20:$G$23,MATCH(AW53,Settings!$A$20:$A$23,0)),INDEX(Settings!$G$20:$G$23,MATCH(AW53,Settings!$A$20:$A$23,0))&amp;" (outside appetite)"))</f>
        <v/>
      </c>
      <c r="AZ53" s="82" t="n"/>
      <c r="BA53" s="82" t="n"/>
      <c r="BB53" s="89" t="n"/>
      <c r="BC53" s="90">
        <f>IF(OR(BB53="",T53=""),"",BB53+INDEX(Settings!$E$20:$E$23,MATCH(T53,Settings!$A$20:$A$23,0)))</f>
        <v/>
      </c>
      <c r="BD53" s="89" t="n"/>
      <c r="BE53" s="82" t="n"/>
      <c r="BF53" s="81">
        <f>IF(A53="","",IF(OR(BE53="Closed",BE53="Accepted"),"No action",IF(BB53="","Set date identified",IF(TODAY()&gt;BC53,"Deadline exceeded",IF(BC53-TODAY()&lt;=Settings!$C$30,"Deadline approaching","On track")))))</f>
        <v/>
      </c>
      <c r="BG53" s="89" t="n"/>
      <c r="BH53" s="89" t="n"/>
      <c r="BI53" s="90">
        <f>IF(OR(BH53="",AW53=""),"",EDATE(BH53,INDEX(Settings!$F$20:$F$23,MATCH(AW53,Settings!$A$20:$A$23,0))))</f>
        <v/>
      </c>
      <c r="BJ53" s="21">
        <f>IF(T53="","",IF(MAX(IF(T53="",0,MATCH(T53,Settings!$A$20:$A$23,0)),IF(AV53="",0,MATCH(AV53,Settings!$A$20:$A$23,0)))&gt;=MATCH(Settings!$C$29,Settings!$A$20:$A$23,0),"Yes","No"))</f>
        <v/>
      </c>
      <c r="BK53" s="82" t="n"/>
      <c r="BL53" s="81">
        <f>IF(A53="","",IF(TRIM(IF(W53="","Treatment not chosen. ","")&amp;IF(AND(W53="Accept",AX53="No"),"Accepted outside appetite: record approval by "&amp;INDEX(Settings!$G$20:$G$23,MATCH(AW53,Settings!$A$20:$A$23,0))&amp;". ","")&amp;IF(AND(W53="Accept",BG53=""),"Acceptance expiry missing. ","")&amp;IF(AND(BG53&lt;&gt;"",BG53&lt;TODAY()),"Acceptance expired. ","")&amp;IF(AND(W53&lt;&gt;"",W53&lt;&gt;"Accept",AV53=""),"Target rating not set. ","")&amp;IF(AND(BE53="Closed",AX53="No"),"Closed while outside appetite. ","")&amp;IF(AND(W53="Transfer",BE53&lt;&gt;"Transferred",BE53&lt;&gt;"Closed"),"Transfer: record the contract, SLA and audit rights. ","")&amp;IF(AZ53="","Risk owner missing. ","")&amp;IF(K53="","Scenario not written. ",""))="","OK",TRIM(IF(W53="","Treatment not chosen. ","")&amp;IF(AND(W53="Accept",AX53="No"),"Accepted outside appetite: record approval by "&amp;INDEX(Settings!$G$20:$G$23,MATCH(AW53,Settings!$A$20:$A$23,0))&amp;". ","")&amp;IF(AND(W53="Accept",BG53=""),"Acceptance expiry missing. ","")&amp;IF(AND(BG53&lt;&gt;"",BG53&lt;TODAY()),"Acceptance expired. ","")&amp;IF(AND(W53&lt;&gt;"",W53&lt;&gt;"Accept",AV53=""),"Target rating not set. ","")&amp;IF(AND(BE53="Closed",AX53="No"),"Closed while outside appetite. ","")&amp;IF(AND(W53="Transfer",BE53&lt;&gt;"Transferred",BE53&lt;&gt;"Closed"),"Transfer: record the contract, SLA and audit rights. ","")&amp;IF(AZ53="","Risk owner missing. ","")&amp;IF(K53="","Scenario not written. ",""))))</f>
        <v/>
      </c>
      <c r="BM53" s="82" t="inlineStr">
        <is>
          <t>Wiki example ratings: likelihood Medium, impact High, residual High, priority 49.</t>
        </is>
      </c>
    </row>
    <row r="54" ht="105" customHeight="1">
      <c r="A54" s="91" t="inlineStr">
        <is>
          <t>AI-R50</t>
        </is>
      </c>
      <c r="B54" s="92" t="inlineStr">
        <is>
          <t>Training-Serving Skew and Unreproducible Models</t>
        </is>
      </c>
      <c r="C54" s="80" t="inlineStr">
        <is>
          <t>04</t>
        </is>
      </c>
      <c r="D54" s="81">
        <f>IF(C54="","",IFERROR(INDEX(Lists!$O$2:$O$13,MATCH(C54,Lists!$N$2:$N$13,0)),"Check domain code"))</f>
        <v/>
      </c>
      <c r="E54" s="81">
        <f>IF(C54="","",IFERROR(INDEX(Lists!$P$2:$P$13,MATCH(C54,Lists!$N$2:$N$13,0)),""))</f>
        <v/>
      </c>
      <c r="F54" s="80" t="n"/>
      <c r="G54" s="82" t="inlineStr">
        <is>
          <t>Enterprise-wide (all AI use)</t>
        </is>
      </c>
      <c r="H54" s="82" t="n"/>
      <c r="I54" s="82" t="n"/>
      <c r="J54" s="93" t="inlineStr">
        <is>
          <t>A model can behave differently in production from how it behaved in evaluation because features, preprocessing or data are prepared differently in the two places. Without versioned code, data and settings, a model cannot be rebuilt to investigate a fault or to show a regulator how it was produced. AI-R17 covers drift over time; this risk covers a gap that exists from the first day. Required controls include one shared definition of features and preprocessing for training and serving, versioning of the data, code and settings behind each model, a check that production inputs match the evaluation data, and a test that a model can be rebuilt from its records. Adapted from AI Risk Map domains 04 (Model Development and Performance) and 07 (Operations and Resilience). No second source has been checked, so this entry is partly the wiki's own framing.</t>
        </is>
      </c>
      <c r="K54" s="82" t="n"/>
      <c r="L54" s="82" t="n"/>
      <c r="M54" s="94" t="inlineStr">
        <is>
          <t>E15</t>
        </is>
      </c>
      <c r="N54" s="21">
        <f>IF(COUNTIF(Triage!$E$6:$E$48,"Yes")+COUNTIF(Triage!$E$6:$E$48,"No")=0,"Not triaged",IF(SUMPRODUCT(COUNTIFS(Triage!$A$6:$A$48,{"E15"},Triage!$E$6:$E$48,"Yes"))&gt;0,"Applies","Not triggered"))</f>
        <v/>
      </c>
      <c r="O54" s="82" t="n"/>
      <c r="P54" s="85" t="n"/>
      <c r="Q54" s="85" t="n">
        <v>2</v>
      </c>
      <c r="R54" s="85" t="n">
        <v>2</v>
      </c>
      <c r="S54" s="21">
        <f>IF(OR(Q54="",R54=""),"",Q54*R54)</f>
        <v/>
      </c>
      <c r="T54" s="21">
        <f>IF(S54="","",INDEX(Settings!$A$20:$A$23,MATCH(S54,Settings!$B$20:$B$23,1)))</f>
        <v/>
      </c>
      <c r="U54" s="82" t="inlineStr">
        <is>
          <t>Qualitative (4 x 4)</t>
        </is>
      </c>
      <c r="V54" s="86" t="n"/>
      <c r="W54" s="85" t="n"/>
      <c r="X54" s="82" t="n"/>
      <c r="Y54" s="95" t="inlineStr">
        <is>
          <t>AI-CTRL-030, AI-CTRL-034, AI-CTRL-008, AI-CTRL-033</t>
        </is>
      </c>
      <c r="Z54" s="95" t="inlineStr">
        <is>
          <t>AI-CTRL-008, AI-CTRL-033</t>
        </is>
      </c>
      <c r="AA54" s="95" t="inlineStr">
        <is>
          <t>Shared feature definitions; versioned data, code and settings; production-to-evaluation input checks; rebuild test</t>
        </is>
      </c>
      <c r="AB54" s="95" t="inlineStr">
        <is>
          <t>Model lineage records; input distribution comparisons; rebuild test results</t>
        </is>
      </c>
      <c r="AC54" s="95" t="inlineStr">
        <is>
          <t>A.5.2; A.6.1.2; A.6.1.3; A.6.2.2; A.6.2.3; A.6.2.4; A.6.2.5; A.6.2.7; A.6.2.8</t>
        </is>
      </c>
      <c r="AD54" s="95" t="inlineStr">
        <is>
          <t>A.5.7; A.5.8; A.5.28; A.5.33; A.8.4; A.8.8; A.8.9; A.8.15; A.8.17; A.8.25; A.8.27; A.8.29; A.8.31; A.8.32; A.8.34</t>
        </is>
      </c>
      <c r="AE54" s="95" t="inlineStr">
        <is>
          <t>GOVERN 4.2; GOVERN 4.3; MANAGE 1.1; MANAGE 4.1; MAP 4.2; MEASURE 2.1; MEASURE 2.4; MEASURE 2.6; MEASURE 2.7; MEASURE 2.8</t>
        </is>
      </c>
      <c r="AF54" s="95" t="inlineStr">
        <is>
          <t>LLM01:2025; LLM02:2025; LLM03:2025; LLM04:2025; LLM05:2025; LLM06:2025; LLM07:2025; LLM08:2025; LLM09:2025; LLM10:2025</t>
        </is>
      </c>
      <c r="AG54" s="95" t="inlineStr">
        <is>
          <t>AML.T0010; AML.T0018; AML.T0119</t>
        </is>
      </c>
      <c r="AH54" s="95" t="inlineStr">
        <is>
          <t>Not checked</t>
        </is>
      </c>
      <c r="AI54" s="95" t="inlineStr">
        <is>
          <t>DE.CM; ID.IM; ID.RA; PR.AA; PR.PS</t>
        </is>
      </c>
      <c r="AJ54" s="96" t="inlineStr">
        <is>
          <t>CIS 4; CIS 7; CIS 8; CIS 16; CIS 18</t>
        </is>
      </c>
      <c r="AK54" s="95" t="inlineStr">
        <is>
          <t>CC3.4; CC4.1; CC6.1; CC7.1; CC7.2; CC8.1</t>
        </is>
      </c>
      <c r="AL54" s="95" t="inlineStr">
        <is>
          <t>None</t>
        </is>
      </c>
      <c r="AM54" s="95" t="inlineStr">
        <is>
          <t>04 Reproducibility and documentation; 07 MLOps and deployment</t>
        </is>
      </c>
      <c r="AN54" s="95" t="inlineStr">
        <is>
          <t>None</t>
        </is>
      </c>
      <c r="AO54" s="95" t="inlineStr">
        <is>
          <t>None</t>
        </is>
      </c>
      <c r="AP54" s="95" t="inlineStr">
        <is>
          <t>None</t>
        </is>
      </c>
      <c r="AQ54" s="96" t="n">
        <v>2</v>
      </c>
      <c r="AR54" s="96" t="n">
        <v>81</v>
      </c>
      <c r="AS54" s="85" t="n"/>
      <c r="AT54" s="85" t="n"/>
      <c r="AU54" s="21">
        <f>IF(OR(AS54="",AT54=""),"",AS54*AT54)</f>
        <v/>
      </c>
      <c r="AV54" s="21">
        <f>IF(AU54="","",INDEX(Settings!$A$20:$A$23,MATCH(AU54,Settings!$B$20:$B$23,1)))</f>
        <v/>
      </c>
      <c r="AW54" s="21">
        <f>IF(AV54&lt;&gt;"",AV54,T54)</f>
        <v/>
      </c>
      <c r="AX54" s="21">
        <f>IF(AW54="","",IF(MATCH(AW54,Settings!$A$20:$A$23,0)&lt;=MATCH(Settings!$C$28,Settings!$A$20:$A$23,0),"Yes","No"))</f>
        <v/>
      </c>
      <c r="AY54" s="81">
        <f>IF(AW54="","",IF(AX54="Yes",INDEX(Settings!$G$20:$G$23,MATCH(AW54,Settings!$A$20:$A$23,0)),INDEX(Settings!$G$20:$G$23,MATCH(AW54,Settings!$A$20:$A$23,0))&amp;" (outside appetite)"))</f>
        <v/>
      </c>
      <c r="AZ54" s="82" t="n"/>
      <c r="BA54" s="82" t="n"/>
      <c r="BB54" s="89" t="n"/>
      <c r="BC54" s="90">
        <f>IF(OR(BB54="",T54=""),"",BB54+INDEX(Settings!$E$20:$E$23,MATCH(T54,Settings!$A$20:$A$23,0)))</f>
        <v/>
      </c>
      <c r="BD54" s="89" t="n"/>
      <c r="BE54" s="82" t="n"/>
      <c r="BF54" s="81">
        <f>IF(A54="","",IF(OR(BE54="Closed",BE54="Accepted"),"No action",IF(BB54="","Set date identified",IF(TODAY()&gt;BC54,"Deadline exceeded",IF(BC54-TODAY()&lt;=Settings!$C$30,"Deadline approaching","On track")))))</f>
        <v/>
      </c>
      <c r="BG54" s="89" t="n"/>
      <c r="BH54" s="89" t="n"/>
      <c r="BI54" s="90">
        <f>IF(OR(BH54="",AW54=""),"",EDATE(BH54,INDEX(Settings!$F$20:$F$23,MATCH(AW54,Settings!$A$20:$A$23,0))))</f>
        <v/>
      </c>
      <c r="BJ54" s="21">
        <f>IF(T54="","",IF(MAX(IF(T54="",0,MATCH(T54,Settings!$A$20:$A$23,0)),IF(AV54="",0,MATCH(AV54,Settings!$A$20:$A$23,0)))&gt;=MATCH(Settings!$C$29,Settings!$A$20:$A$23,0),"Yes","No"))</f>
        <v/>
      </c>
      <c r="BK54" s="82" t="n"/>
      <c r="BL54" s="81">
        <f>IF(A54="","",IF(TRIM(IF(W54="","Treatment not chosen. ","")&amp;IF(AND(W54="Accept",AX54="No"),"Accepted outside appetite: record approval by "&amp;INDEX(Settings!$G$20:$G$23,MATCH(AW54,Settings!$A$20:$A$23,0))&amp;". ","")&amp;IF(AND(W54="Accept",BG54=""),"Acceptance expiry missing. ","")&amp;IF(AND(BG54&lt;&gt;"",BG54&lt;TODAY()),"Acceptance expired. ","")&amp;IF(AND(W54&lt;&gt;"",W54&lt;&gt;"Accept",AV54=""),"Target rating not set. ","")&amp;IF(AND(BE54="Closed",AX54="No"),"Closed while outside appetite. ","")&amp;IF(AND(W54="Transfer",BE54&lt;&gt;"Transferred",BE54&lt;&gt;"Closed"),"Transfer: record the contract, SLA and audit rights. ","")&amp;IF(AZ54="","Risk owner missing. ","")&amp;IF(K54="","Scenario not written. ",""))="","OK",TRIM(IF(W54="","Treatment not chosen. ","")&amp;IF(AND(W54="Accept",AX54="No"),"Accepted outside appetite: record approval by "&amp;INDEX(Settings!$G$20:$G$23,MATCH(AW54,Settings!$A$20:$A$23,0))&amp;". ","")&amp;IF(AND(W54="Accept",BG54=""),"Acceptance expiry missing. ","")&amp;IF(AND(BG54&lt;&gt;"",BG54&lt;TODAY()),"Acceptance expired. ","")&amp;IF(AND(W54&lt;&gt;"",W54&lt;&gt;"Accept",AV54=""),"Target rating not set. ","")&amp;IF(AND(BE54="Closed",AX54="No"),"Closed while outside appetite. ","")&amp;IF(AND(W54="Transfer",BE54&lt;&gt;"Transferred",BE54&lt;&gt;"Closed"),"Transfer: record the contract, SLA and audit rights. ","")&amp;IF(AZ54="","Risk owner missing. ","")&amp;IF(K54="","Scenario not written. ",""))))</f>
        <v/>
      </c>
      <c r="BM54" s="82" t="inlineStr">
        <is>
          <t>Wiki example ratings: likelihood Medium, impact Medium, residual Medium, priority 50.</t>
        </is>
      </c>
    </row>
    <row r="55" ht="105" customHeight="1">
      <c r="A55" s="78" t="inlineStr">
        <is>
          <t>AI-R51</t>
        </is>
      </c>
      <c r="B55" s="79" t="inlineStr">
        <is>
          <t>Liability for Harm Caused by AI Decisions</t>
        </is>
      </c>
      <c r="C55" s="80" t="inlineStr">
        <is>
          <t>08</t>
        </is>
      </c>
      <c r="D55" s="81">
        <f>IF(C55="","",IFERROR(INDEX(Lists!$O$2:$O$13,MATCH(C55,Lists!$N$2:$N$13,0)),"Check domain code"))</f>
        <v/>
      </c>
      <c r="E55" s="81">
        <f>IF(C55="","",IFERROR(INDEX(Lists!$P$2:$P$13,MATCH(C55,Lists!$N$2:$N$13,0)),""))</f>
        <v/>
      </c>
      <c r="F55" s="80" t="n"/>
      <c r="G55" s="82" t="inlineStr">
        <is>
          <t>Enterprise-wide (all AI use)</t>
        </is>
      </c>
      <c r="H55" s="82" t="n"/>
      <c r="I55" s="82" t="n"/>
      <c r="J55" s="83" t="inlineStr">
        <is>
          <t>When an AI decision or output harms a customer or a third party, the organization may be liable even if a vendor built the model, and contracts may leave the organization carrying the loss. Some laws now treat software, including AI, as a product for liability purposes. Required controls include an impact assessment that names who could be harmed and how, human oversight sized to the harm, contract terms that allocate liability and indemnity with AI vendors, and a recorded acceptance of the residual risk by an accountable owner. Adapted from AI Risk Map domain 08 (Legal, Regulatory and Compliance). Also named in the new EU Product Liability Directive, which covers software (see the EU AI Regulatory Hub).</t>
        </is>
      </c>
      <c r="K55" s="82" t="n"/>
      <c r="L55" s="82" t="n"/>
      <c r="M55" s="84" t="inlineStr">
        <is>
          <t>E16</t>
        </is>
      </c>
      <c r="N55" s="21">
        <f>IF(COUNTIF(Triage!$E$6:$E$48,"Yes")+COUNTIF(Triage!$E$6:$E$48,"No")=0,"Not triaged",IF(SUMPRODUCT(COUNTIFS(Triage!$A$6:$A$48,{"E16"},Triage!$E$6:$E$48,"Yes"))&gt;0,"Applies","Not triggered"))</f>
        <v/>
      </c>
      <c r="O55" s="82" t="n"/>
      <c r="P55" s="85" t="n"/>
      <c r="Q55" s="85" t="n">
        <v>1</v>
      </c>
      <c r="R55" s="85" t="n">
        <v>3</v>
      </c>
      <c r="S55" s="21">
        <f>IF(OR(Q55="",R55=""),"",Q55*R55)</f>
        <v/>
      </c>
      <c r="T55" s="21">
        <f>IF(S55="","",INDEX(Settings!$A$20:$A$23,MATCH(S55,Settings!$B$20:$B$23,1)))</f>
        <v/>
      </c>
      <c r="U55" s="82" t="inlineStr">
        <is>
          <t>Qualitative (4 x 4)</t>
        </is>
      </c>
      <c r="V55" s="86" t="n"/>
      <c r="W55" s="85" t="n"/>
      <c r="X55" s="82" t="n"/>
      <c r="Y55" s="87" t="inlineStr">
        <is>
          <t>AI-CTRL-042, AI-CTRL-045, AI-CTRL-014, AI-CTRL-037</t>
        </is>
      </c>
      <c r="Z55" s="87" t="inlineStr">
        <is>
          <t>AI-CTRL-014</t>
        </is>
      </c>
      <c r="AA55" s="87" t="inlineStr">
        <is>
          <t>Impact assessment of who could be harmed; oversight sized to harm; liability and indemnity terms; risk acceptance</t>
        </is>
      </c>
      <c r="AB55" s="87" t="inlineStr">
        <is>
          <t>Impact assessments; oversight design records; contract terms; acceptance records</t>
        </is>
      </c>
      <c r="AC55" s="87" t="inlineStr">
        <is>
          <t>A.5.2; A.5.3; A.5.4; A.5.5; A.9.2; A.9.3; A.10.2; A.10.3; Clause 6.1.2; Clause 6.1.3</t>
        </is>
      </c>
      <c r="AD55" s="87" t="inlineStr">
        <is>
          <t>A.5.8; A.5.11; A.5.19; A.5.20; A.5.21; A.5.22; A.5.23; A.5.31; A.5.34; Clause 6.1.2; Clause 6.1.3</t>
        </is>
      </c>
      <c r="AE55" s="87" t="inlineStr">
        <is>
          <t>GOVERN 1.1; GOVERN 1.3; GOVERN 3.2; GOVERN 6.1; GOVERN 6.2; MANAGE 1.2; MANAGE 1.4; MANAGE 3.1; MAP 1.1; MAP 1.5; MAP 3.5; MAP 5.1</t>
        </is>
      </c>
      <c r="AF55" s="87" t="inlineStr">
        <is>
          <t>ASI09; LLM03:2025; LLM06:2025</t>
        </is>
      </c>
      <c r="AG55" s="87" t="inlineStr">
        <is>
          <t>AML.T0010; AML.T0109</t>
        </is>
      </c>
      <c r="AH55" s="87" t="inlineStr">
        <is>
          <t>Not checked</t>
        </is>
      </c>
      <c r="AI55" s="87" t="inlineStr">
        <is>
          <t>GV.OC; GV.RM; GV.RR; GV.SC; ID.RA</t>
        </is>
      </c>
      <c r="AJ55" s="88" t="inlineStr">
        <is>
          <t>CIS 15</t>
        </is>
      </c>
      <c r="AK55" s="87" t="inlineStr">
        <is>
          <t>CC3.1; CC3.2; CC9.1; CC9.2</t>
        </is>
      </c>
      <c r="AL55" s="87" t="inlineStr">
        <is>
          <t>None</t>
        </is>
      </c>
      <c r="AM55" s="87" t="inlineStr">
        <is>
          <t>08 IP and liability</t>
        </is>
      </c>
      <c r="AN55" s="87" t="inlineStr">
        <is>
          <t>None</t>
        </is>
      </c>
      <c r="AO55" s="87" t="inlineStr">
        <is>
          <t>None</t>
        </is>
      </c>
      <c r="AP55" s="87" t="inlineStr">
        <is>
          <t>None</t>
        </is>
      </c>
      <c r="AQ55" s="88" t="n">
        <v>1</v>
      </c>
      <c r="AR55" s="88" t="n">
        <v>44</v>
      </c>
      <c r="AS55" s="85" t="n"/>
      <c r="AT55" s="85" t="n"/>
      <c r="AU55" s="21">
        <f>IF(OR(AS55="",AT55=""),"",AS55*AT55)</f>
        <v/>
      </c>
      <c r="AV55" s="21">
        <f>IF(AU55="","",INDEX(Settings!$A$20:$A$23,MATCH(AU55,Settings!$B$20:$B$23,1)))</f>
        <v/>
      </c>
      <c r="AW55" s="21">
        <f>IF(AV55&lt;&gt;"",AV55,T55)</f>
        <v/>
      </c>
      <c r="AX55" s="21">
        <f>IF(AW55="","",IF(MATCH(AW55,Settings!$A$20:$A$23,0)&lt;=MATCH(Settings!$C$28,Settings!$A$20:$A$23,0),"Yes","No"))</f>
        <v/>
      </c>
      <c r="AY55" s="81">
        <f>IF(AW55="","",IF(AX55="Yes",INDEX(Settings!$G$20:$G$23,MATCH(AW55,Settings!$A$20:$A$23,0)),INDEX(Settings!$G$20:$G$23,MATCH(AW55,Settings!$A$20:$A$23,0))&amp;" (outside appetite)"))</f>
        <v/>
      </c>
      <c r="AZ55" s="82" t="n"/>
      <c r="BA55" s="82" t="n"/>
      <c r="BB55" s="89" t="n"/>
      <c r="BC55" s="90">
        <f>IF(OR(BB55="",T55=""),"",BB55+INDEX(Settings!$E$20:$E$23,MATCH(T55,Settings!$A$20:$A$23,0)))</f>
        <v/>
      </c>
      <c r="BD55" s="89" t="n"/>
      <c r="BE55" s="82" t="n"/>
      <c r="BF55" s="81">
        <f>IF(A55="","",IF(OR(BE55="Closed",BE55="Accepted"),"No action",IF(BB55="","Set date identified",IF(TODAY()&gt;BC55,"Deadline exceeded",IF(BC55-TODAY()&lt;=Settings!$C$30,"Deadline approaching","On track")))))</f>
        <v/>
      </c>
      <c r="BG55" s="89" t="n"/>
      <c r="BH55" s="89" t="n"/>
      <c r="BI55" s="90">
        <f>IF(OR(BH55="",AW55=""),"",EDATE(BH55,INDEX(Settings!$F$20:$F$23,MATCH(AW55,Settings!$A$20:$A$23,0))))</f>
        <v/>
      </c>
      <c r="BJ55" s="21">
        <f>IF(T55="","",IF(MAX(IF(T55="",0,MATCH(T55,Settings!$A$20:$A$23,0)),IF(AV55="",0,MATCH(AV55,Settings!$A$20:$A$23,0)))&gt;=MATCH(Settings!$C$29,Settings!$A$20:$A$23,0),"Yes","No"))</f>
        <v/>
      </c>
      <c r="BK55" s="82" t="n"/>
      <c r="BL55" s="81">
        <f>IF(A55="","",IF(TRIM(IF(W55="","Treatment not chosen. ","")&amp;IF(AND(W55="Accept",AX55="No"),"Accepted outside appetite: record approval by "&amp;INDEX(Settings!$G$20:$G$23,MATCH(AW55,Settings!$A$20:$A$23,0))&amp;". ","")&amp;IF(AND(W55="Accept",BG55=""),"Acceptance expiry missing. ","")&amp;IF(AND(BG55&lt;&gt;"",BG55&lt;TODAY()),"Acceptance expired. ","")&amp;IF(AND(W55&lt;&gt;"",W55&lt;&gt;"Accept",AV55=""),"Target rating not set. ","")&amp;IF(AND(BE55="Closed",AX55="No"),"Closed while outside appetite. ","")&amp;IF(AND(W55="Transfer",BE55&lt;&gt;"Transferred",BE55&lt;&gt;"Closed"),"Transfer: record the contract, SLA and audit rights. ","")&amp;IF(AZ55="","Risk owner missing. ","")&amp;IF(K55="","Scenario not written. ",""))="","OK",TRIM(IF(W55="","Treatment not chosen. ","")&amp;IF(AND(W55="Accept",AX55="No"),"Accepted outside appetite: record approval by "&amp;INDEX(Settings!$G$20:$G$23,MATCH(AW55,Settings!$A$20:$A$23,0))&amp;". ","")&amp;IF(AND(W55="Accept",BG55=""),"Acceptance expiry missing. ","")&amp;IF(AND(BG55&lt;&gt;"",BG55&lt;TODAY()),"Acceptance expired. ","")&amp;IF(AND(W55&lt;&gt;"",W55&lt;&gt;"Accept",AV55=""),"Target rating not set. ","")&amp;IF(AND(BE55="Closed",AX55="No"),"Closed while outside appetite. ","")&amp;IF(AND(W55="Transfer",BE55&lt;&gt;"Transferred",BE55&lt;&gt;"Closed"),"Transfer: record the contract, SLA and audit rights. ","")&amp;IF(AZ55="","Risk owner missing. ","")&amp;IF(K55="","Scenario not written. ",""))))</f>
        <v/>
      </c>
      <c r="BM55" s="82" t="inlineStr">
        <is>
          <t>Wiki example ratings: likelihood Low, impact High, residual Medium, priority 51.</t>
        </is>
      </c>
    </row>
    <row r="56" ht="105" customHeight="1">
      <c r="A56" s="91" t="inlineStr">
        <is>
          <t>AI-R52</t>
        </is>
      </c>
      <c r="B56" s="92" t="inlineStr">
        <is>
          <t>Unmaintained Open-Source AI Components</t>
        </is>
      </c>
      <c r="C56" s="80" t="inlineStr">
        <is>
          <t>09</t>
        </is>
      </c>
      <c r="D56" s="81">
        <f>IF(C56="","",IFERROR(INDEX(Lists!$O$2:$O$13,MATCH(C56,Lists!$N$2:$N$13,0)),"Check domain code"))</f>
        <v/>
      </c>
      <c r="E56" s="81">
        <f>IF(C56="","",IFERROR(INDEX(Lists!$P$2:$P$13,MATCH(C56,Lists!$N$2:$N$13,0)),""))</f>
        <v/>
      </c>
      <c r="F56" s="80" t="n"/>
      <c r="G56" s="82" t="inlineStr">
        <is>
          <t>Enterprise-wide (all AI use)</t>
        </is>
      </c>
      <c r="H56" s="82" t="n"/>
      <c r="I56" s="82" t="n"/>
      <c r="J56" s="93" t="inlineStr">
        <is>
          <t>AI systems often depend on open-source libraries, model-serving tools, agent frameworks and models that a small number of volunteers maintain. A component can be abandoned, stop receiving security fixes, or change owner, while systems keep using it. AI-R08 covers tampered components and AI-R43 covers invented package names; this risk covers genuine components that are no longer maintained. Required controls include recording each component's maintenance status in the AI-BOM, a release-gate check for unmaintained or end-of-life components, and a plan to replace or take over components that critical systems rely on. Adapted from AI Risk Map domain 09 (Third-Party and Model Supply Chain). No second source has been checked, so this entry is partly the wiki's own framing.</t>
        </is>
      </c>
      <c r="K56" s="82" t="n"/>
      <c r="L56" s="82" t="n"/>
      <c r="M56" s="94" t="inlineStr">
        <is>
          <t>E15</t>
        </is>
      </c>
      <c r="N56" s="21">
        <f>IF(COUNTIF(Triage!$E$6:$E$48,"Yes")+COUNTIF(Triage!$E$6:$E$48,"No")=0,"Not triaged",IF(SUMPRODUCT(COUNTIFS(Triage!$A$6:$A$48,{"E15"},Triage!$E$6:$E$48,"Yes"))&gt;0,"Applies","Not triggered"))</f>
        <v/>
      </c>
      <c r="O56" s="82" t="n"/>
      <c r="P56" s="85" t="n"/>
      <c r="Q56" s="85" t="n">
        <v>2</v>
      </c>
      <c r="R56" s="85" t="n">
        <v>2</v>
      </c>
      <c r="S56" s="21">
        <f>IF(OR(Q56="",R56=""),"",Q56*R56)</f>
        <v/>
      </c>
      <c r="T56" s="21">
        <f>IF(S56="","",INDEX(Settings!$A$20:$A$23,MATCH(S56,Settings!$B$20:$B$23,1)))</f>
        <v/>
      </c>
      <c r="U56" s="82" t="inlineStr">
        <is>
          <t>Qualitative (4 x 4)</t>
        </is>
      </c>
      <c r="V56" s="86" t="n"/>
      <c r="W56" s="85" t="n"/>
      <c r="X56" s="82" t="n"/>
      <c r="Y56" s="95" t="inlineStr">
        <is>
          <t>AI-CTRL-031, AI-CTRL-033, AI-CTRL-030</t>
        </is>
      </c>
      <c r="Z56" s="95" t="inlineStr">
        <is>
          <t>AI-CTRL-033</t>
        </is>
      </c>
      <c r="AA56" s="95" t="inlineStr">
        <is>
          <t>Maintenance status in the AI-BOM; release-gate check for end-of-life components; replacement plans</t>
        </is>
      </c>
      <c r="AB56" s="95" t="inlineStr">
        <is>
          <t>AI-BOM with maintenance status; release-gate findings; replacement plans</t>
        </is>
      </c>
      <c r="AC56" s="95" t="inlineStr">
        <is>
          <t>A.4.2; A.5.2; A.6.1.2; A.6.1.3; A.6.2.2; A.6.2.3; A.6.2.4; A.6.2.5; A.6.2.7; A.7.5; A.10.3</t>
        </is>
      </c>
      <c r="AD56" s="95" t="inlineStr">
        <is>
          <t>A.5.8; A.5.9; A.5.21; A.8.4; A.8.8; A.8.9; A.8.19; A.8.25; A.8.27; A.8.29; A.8.30; A.8.31; A.8.32</t>
        </is>
      </c>
      <c r="AE56" s="95" t="inlineStr">
        <is>
          <t>GOVERN 4.2; GOVERN 6.1; MANAGE 1.1; MANAGE 3.1; MANAGE 3.2; MAP 4.1; MAP 4.2; MEASURE 2.7</t>
        </is>
      </c>
      <c r="AF56" s="95" t="inlineStr">
        <is>
          <t>LLM03:2025; LLM04:2025</t>
        </is>
      </c>
      <c r="AG56" s="95" t="inlineStr">
        <is>
          <t>AML.T0010; AML.T0018; AML.T0109; AML.T0111; AML.T0115; AML.T0119</t>
        </is>
      </c>
      <c r="AH56" s="95" t="inlineStr">
        <is>
          <t>Not checked</t>
        </is>
      </c>
      <c r="AI56" s="95" t="inlineStr">
        <is>
          <t>GV.SC; ID.AM; ID.RA; PR.AA; PR.PS</t>
        </is>
      </c>
      <c r="AJ56" s="96" t="inlineStr">
        <is>
          <t>CIS 2; CIS 4; CIS 7; CIS 15; CIS 16</t>
        </is>
      </c>
      <c r="AK56" s="95" t="inlineStr">
        <is>
          <t>CC3.4; CC6.1; CC7.1; CC8.1; CC9.2</t>
        </is>
      </c>
      <c r="AL56" s="95" t="inlineStr">
        <is>
          <t>None</t>
        </is>
      </c>
      <c r="AM56" s="95" t="inlineStr">
        <is>
          <t>09 Open-source component risk</t>
        </is>
      </c>
      <c r="AN56" s="95" t="inlineStr">
        <is>
          <t>None</t>
        </is>
      </c>
      <c r="AO56" s="95" t="inlineStr">
        <is>
          <t>None</t>
        </is>
      </c>
      <c r="AP56" s="95" t="inlineStr">
        <is>
          <t>None</t>
        </is>
      </c>
      <c r="AQ56" s="96" t="n">
        <v>1</v>
      </c>
      <c r="AR56" s="96" t="n">
        <v>48</v>
      </c>
      <c r="AS56" s="85" t="n"/>
      <c r="AT56" s="85" t="n"/>
      <c r="AU56" s="21">
        <f>IF(OR(AS56="",AT56=""),"",AS56*AT56)</f>
        <v/>
      </c>
      <c r="AV56" s="21">
        <f>IF(AU56="","",INDEX(Settings!$A$20:$A$23,MATCH(AU56,Settings!$B$20:$B$23,1)))</f>
        <v/>
      </c>
      <c r="AW56" s="21">
        <f>IF(AV56&lt;&gt;"",AV56,T56)</f>
        <v/>
      </c>
      <c r="AX56" s="21">
        <f>IF(AW56="","",IF(MATCH(AW56,Settings!$A$20:$A$23,0)&lt;=MATCH(Settings!$C$28,Settings!$A$20:$A$23,0),"Yes","No"))</f>
        <v/>
      </c>
      <c r="AY56" s="81">
        <f>IF(AW56="","",IF(AX56="Yes",INDEX(Settings!$G$20:$G$23,MATCH(AW56,Settings!$A$20:$A$23,0)),INDEX(Settings!$G$20:$G$23,MATCH(AW56,Settings!$A$20:$A$23,0))&amp;" (outside appetite)"))</f>
        <v/>
      </c>
      <c r="AZ56" s="82" t="n"/>
      <c r="BA56" s="82" t="n"/>
      <c r="BB56" s="89" t="n"/>
      <c r="BC56" s="90">
        <f>IF(OR(BB56="",T56=""),"",BB56+INDEX(Settings!$E$20:$E$23,MATCH(T56,Settings!$A$20:$A$23,0)))</f>
        <v/>
      </c>
      <c r="BD56" s="89" t="n"/>
      <c r="BE56" s="82" t="n"/>
      <c r="BF56" s="81">
        <f>IF(A56="","",IF(OR(BE56="Closed",BE56="Accepted"),"No action",IF(BB56="","Set date identified",IF(TODAY()&gt;BC56,"Deadline exceeded",IF(BC56-TODAY()&lt;=Settings!$C$30,"Deadline approaching","On track")))))</f>
        <v/>
      </c>
      <c r="BG56" s="89" t="n"/>
      <c r="BH56" s="89" t="n"/>
      <c r="BI56" s="90">
        <f>IF(OR(BH56="",AW56=""),"",EDATE(BH56,INDEX(Settings!$F$20:$F$23,MATCH(AW56,Settings!$A$20:$A$23,0))))</f>
        <v/>
      </c>
      <c r="BJ56" s="21">
        <f>IF(T56="","",IF(MAX(IF(T56="",0,MATCH(T56,Settings!$A$20:$A$23,0)),IF(AV56="",0,MATCH(AV56,Settings!$A$20:$A$23,0)))&gt;=MATCH(Settings!$C$29,Settings!$A$20:$A$23,0),"Yes","No"))</f>
        <v/>
      </c>
      <c r="BK56" s="82" t="n"/>
      <c r="BL56" s="81">
        <f>IF(A56="","",IF(TRIM(IF(W56="","Treatment not chosen. ","")&amp;IF(AND(W56="Accept",AX56="No"),"Accepted outside appetite: record approval by "&amp;INDEX(Settings!$G$20:$G$23,MATCH(AW56,Settings!$A$20:$A$23,0))&amp;". ","")&amp;IF(AND(W56="Accept",BG56=""),"Acceptance expiry missing. ","")&amp;IF(AND(BG56&lt;&gt;"",BG56&lt;TODAY()),"Acceptance expired. ","")&amp;IF(AND(W56&lt;&gt;"",W56&lt;&gt;"Accept",AV56=""),"Target rating not set. ","")&amp;IF(AND(BE56="Closed",AX56="No"),"Closed while outside appetite. ","")&amp;IF(AND(W56="Transfer",BE56&lt;&gt;"Transferred",BE56&lt;&gt;"Closed"),"Transfer: record the contract, SLA and audit rights. ","")&amp;IF(AZ56="","Risk owner missing. ","")&amp;IF(K56="","Scenario not written. ",""))="","OK",TRIM(IF(W56="","Treatment not chosen. ","")&amp;IF(AND(W56="Accept",AX56="No"),"Accepted outside appetite: record approval by "&amp;INDEX(Settings!$G$20:$G$23,MATCH(AW56,Settings!$A$20:$A$23,0))&amp;". ","")&amp;IF(AND(W56="Accept",BG56=""),"Acceptance expiry missing. ","")&amp;IF(AND(BG56&lt;&gt;"",BG56&lt;TODAY()),"Acceptance expired. ","")&amp;IF(AND(W56&lt;&gt;"",W56&lt;&gt;"Accept",AV56=""),"Target rating not set. ","")&amp;IF(AND(BE56="Closed",AX56="No"),"Closed while outside appetite. ","")&amp;IF(AND(W56="Transfer",BE56&lt;&gt;"Transferred",BE56&lt;&gt;"Closed"),"Transfer: record the contract, SLA and audit rights. ","")&amp;IF(AZ56="","Risk owner missing. ","")&amp;IF(K56="","Scenario not written. ",""))))</f>
        <v/>
      </c>
      <c r="BM56" s="82" t="inlineStr">
        <is>
          <t>Wiki example ratings: likelihood Medium, impact Medium, residual Medium, priority 52.</t>
        </is>
      </c>
    </row>
    <row r="57" ht="105" customHeight="1">
      <c r="A57" s="78" t="inlineStr">
        <is>
          <t>AI-R53</t>
        </is>
      </c>
      <c r="B57" s="79" t="inlineStr">
        <is>
          <t>Unlabelled AI-Generated Content</t>
        </is>
      </c>
      <c r="C57" s="80" t="inlineStr">
        <is>
          <t>06</t>
        </is>
      </c>
      <c r="D57" s="81">
        <f>IF(C57="","",IFERROR(INDEX(Lists!$O$2:$O$13,MATCH(C57,Lists!$N$2:$N$13,0)),"Check domain code"))</f>
        <v/>
      </c>
      <c r="E57" s="81">
        <f>IF(C57="","",IFERROR(INDEX(Lists!$P$2:$P$13,MATCH(C57,Lists!$N$2:$N$13,0)),""))</f>
        <v/>
      </c>
      <c r="F57" s="80" t="n"/>
      <c r="G57" s="82" t="inlineStr">
        <is>
          <t>Enterprise-wide (all AI use)</t>
        </is>
      </c>
      <c r="H57" s="82" t="n"/>
      <c r="I57" s="82" t="n"/>
      <c r="J57" s="83" t="inlineStr">
        <is>
          <t>Images, audio, video and text generated by AI can be taken for real when they are not marked as AI-generated, and some laws now require marking or labelling. Content that loses its marking when it is edited or shared can still cause the same harm. AI-R41 covers claims about AI capability; this risk covers the content itself. Required controls include machine-readable marking of generated content where the law or the use case requires it, visible labels where people could be misled, a test that the marking survives the system's normal output path, and a record of which jurisdictions' labelling rules apply. Adapted from AI Risk Map domain 06 (Safety, Ethics and Responsible AI). Also named in the EU AI Act, Article 50 (see the EU AI Regulatory Hub), and in China's rules on labelling AI-generated content (see the CN-T2 Content Labelling Implementation Record).</t>
        </is>
      </c>
      <c r="K57" s="82" t="n"/>
      <c r="L57" s="82" t="n"/>
      <c r="M57" s="84" t="inlineStr">
        <is>
          <t>E17</t>
        </is>
      </c>
      <c r="N57" s="21">
        <f>IF(COUNTIF(Triage!$E$6:$E$48,"Yes")+COUNTIF(Triage!$E$6:$E$48,"No")=0,"Not triaged",IF(SUMPRODUCT(COUNTIFS(Triage!$A$6:$A$48,{"E17"},Triage!$E$6:$E$48,"Yes"))&gt;0,"Applies","Not triggered"))</f>
        <v/>
      </c>
      <c r="O57" s="82" t="n"/>
      <c r="P57" s="85" t="n"/>
      <c r="Q57" s="85" t="n">
        <v>2</v>
      </c>
      <c r="R57" s="85" t="n">
        <v>3</v>
      </c>
      <c r="S57" s="21">
        <f>IF(OR(Q57="",R57=""),"",Q57*R57)</f>
        <v/>
      </c>
      <c r="T57" s="21">
        <f>IF(S57="","",INDEX(Settings!$A$20:$A$23,MATCH(S57,Settings!$B$20:$B$23,1)))</f>
        <v/>
      </c>
      <c r="U57" s="82" t="inlineStr">
        <is>
          <t>Qualitative (4 x 4)</t>
        </is>
      </c>
      <c r="V57" s="86" t="n"/>
      <c r="W57" s="85" t="n"/>
      <c r="X57" s="82" t="n"/>
      <c r="Y57" s="87" t="inlineStr">
        <is>
          <t>AI-CTRL-039, AI-CTRL-020, AI-CTRL-013</t>
        </is>
      </c>
      <c r="Z57" s="87" t="inlineStr">
        <is>
          <t>AI-CTRL-020, AI-CTRL-013</t>
        </is>
      </c>
      <c r="AA57" s="87" t="inlineStr">
        <is>
          <t>Machine-readable marking; visible labels; marking survival test; jurisdiction labelling register</t>
        </is>
      </c>
      <c r="AB57" s="87" t="inlineStr">
        <is>
          <t>Marking configuration; label screenshots; survival test results; labelling requirement register</t>
        </is>
      </c>
      <c r="AC57" s="87" t="inlineStr">
        <is>
          <t>A.5.2; A.5.3; A.5.4; A.6.2.4; A.6.2.6; A.8.2</t>
        </is>
      </c>
      <c r="AD57" s="87" t="inlineStr">
        <is>
          <t>A.5.31; A.5.34; A.8.10; A.8.11; A.8.26; A.8.28</t>
        </is>
      </c>
      <c r="AE57" s="87" t="inlineStr">
        <is>
          <t>GOVERN 1.1; MAP 2.2; MAP 5.1; MEASURE 2.5; MEASURE 2.6; MEASURE 2.7; MEASURE 2.10</t>
        </is>
      </c>
      <c r="AF57" s="87" t="inlineStr">
        <is>
          <t>LLM02:2025; LLM05:2025; LLM09:2025</t>
        </is>
      </c>
      <c r="AG57" s="87" t="inlineStr">
        <is>
          <t>AML.T0048; AML.T0057; AML.T0060; AML.T0062; AML.T0067; AML.T0077</t>
        </is>
      </c>
      <c r="AH57" s="87" t="inlineStr">
        <is>
          <t>Not checked</t>
        </is>
      </c>
      <c r="AI57" s="87" t="inlineStr">
        <is>
          <t>GV.OC; PR.DS; PR.PS</t>
        </is>
      </c>
      <c r="AJ57" s="88" t="inlineStr">
        <is>
          <t>CIS 3; CIS 16</t>
        </is>
      </c>
      <c r="AK57" s="87" t="inlineStr">
        <is>
          <t>P1.1; P3.1; P4.1; P4.2; P5.1; PI1.3; PI1.4</t>
        </is>
      </c>
      <c r="AL57" s="87" t="inlineStr">
        <is>
          <t>None</t>
        </is>
      </c>
      <c r="AM57" s="87" t="inlineStr">
        <is>
          <t>06 Transparency, disclosure and provenance</t>
        </is>
      </c>
      <c r="AN57" s="87" t="inlineStr">
        <is>
          <t>None</t>
        </is>
      </c>
      <c r="AO57" s="87" t="inlineStr">
        <is>
          <t>None</t>
        </is>
      </c>
      <c r="AP57" s="87" t="inlineStr">
        <is>
          <t>None</t>
        </is>
      </c>
      <c r="AQ57" s="88" t="n">
        <v>1</v>
      </c>
      <c r="AR57" s="88" t="n">
        <v>64</v>
      </c>
      <c r="AS57" s="85" t="n"/>
      <c r="AT57" s="85" t="n"/>
      <c r="AU57" s="21">
        <f>IF(OR(AS57="",AT57=""),"",AS57*AT57)</f>
        <v/>
      </c>
      <c r="AV57" s="21">
        <f>IF(AU57="","",INDEX(Settings!$A$20:$A$23,MATCH(AU57,Settings!$B$20:$B$23,1)))</f>
        <v/>
      </c>
      <c r="AW57" s="21">
        <f>IF(AV57&lt;&gt;"",AV57,T57)</f>
        <v/>
      </c>
      <c r="AX57" s="21">
        <f>IF(AW57="","",IF(MATCH(AW57,Settings!$A$20:$A$23,0)&lt;=MATCH(Settings!$C$28,Settings!$A$20:$A$23,0),"Yes","No"))</f>
        <v/>
      </c>
      <c r="AY57" s="81">
        <f>IF(AW57="","",IF(AX57="Yes",INDEX(Settings!$G$20:$G$23,MATCH(AW57,Settings!$A$20:$A$23,0)),INDEX(Settings!$G$20:$G$23,MATCH(AW57,Settings!$A$20:$A$23,0))&amp;" (outside appetite)"))</f>
        <v/>
      </c>
      <c r="AZ57" s="82" t="n"/>
      <c r="BA57" s="82" t="n"/>
      <c r="BB57" s="89" t="n"/>
      <c r="BC57" s="90">
        <f>IF(OR(BB57="",T57=""),"",BB57+INDEX(Settings!$E$20:$E$23,MATCH(T57,Settings!$A$20:$A$23,0)))</f>
        <v/>
      </c>
      <c r="BD57" s="89" t="n"/>
      <c r="BE57" s="82" t="n"/>
      <c r="BF57" s="81">
        <f>IF(A57="","",IF(OR(BE57="Closed",BE57="Accepted"),"No action",IF(BB57="","Set date identified",IF(TODAY()&gt;BC57,"Deadline exceeded",IF(BC57-TODAY()&lt;=Settings!$C$30,"Deadline approaching","On track")))))</f>
        <v/>
      </c>
      <c r="BG57" s="89" t="n"/>
      <c r="BH57" s="89" t="n"/>
      <c r="BI57" s="90">
        <f>IF(OR(BH57="",AW57=""),"",EDATE(BH57,INDEX(Settings!$F$20:$F$23,MATCH(AW57,Settings!$A$20:$A$23,0))))</f>
        <v/>
      </c>
      <c r="BJ57" s="21">
        <f>IF(T57="","",IF(MAX(IF(T57="",0,MATCH(T57,Settings!$A$20:$A$23,0)),IF(AV57="",0,MATCH(AV57,Settings!$A$20:$A$23,0)))&gt;=MATCH(Settings!$C$29,Settings!$A$20:$A$23,0),"Yes","No"))</f>
        <v/>
      </c>
      <c r="BK57" s="82" t="n"/>
      <c r="BL57" s="81">
        <f>IF(A57="","",IF(TRIM(IF(W57="","Treatment not chosen. ","")&amp;IF(AND(W57="Accept",AX57="No"),"Accepted outside appetite: record approval by "&amp;INDEX(Settings!$G$20:$G$23,MATCH(AW57,Settings!$A$20:$A$23,0))&amp;". ","")&amp;IF(AND(W57="Accept",BG57=""),"Acceptance expiry missing. ","")&amp;IF(AND(BG57&lt;&gt;"",BG57&lt;TODAY()),"Acceptance expired. ","")&amp;IF(AND(W57&lt;&gt;"",W57&lt;&gt;"Accept",AV57=""),"Target rating not set. ","")&amp;IF(AND(BE57="Closed",AX57="No"),"Closed while outside appetite. ","")&amp;IF(AND(W57="Transfer",BE57&lt;&gt;"Transferred",BE57&lt;&gt;"Closed"),"Transfer: record the contract, SLA and audit rights. ","")&amp;IF(AZ57="","Risk owner missing. ","")&amp;IF(K57="","Scenario not written. ",""))="","OK",TRIM(IF(W57="","Treatment not chosen. ","")&amp;IF(AND(W57="Accept",AX57="No"),"Accepted outside appetite: record approval by "&amp;INDEX(Settings!$G$20:$G$23,MATCH(AW57,Settings!$A$20:$A$23,0))&amp;". ","")&amp;IF(AND(W57="Accept",BG57=""),"Acceptance expiry missing. ","")&amp;IF(AND(BG57&lt;&gt;"",BG57&lt;TODAY()),"Acceptance expired. ","")&amp;IF(AND(W57&lt;&gt;"",W57&lt;&gt;"Accept",AV57=""),"Target rating not set. ","")&amp;IF(AND(BE57="Closed",AX57="No"),"Closed while outside appetite. ","")&amp;IF(AND(W57="Transfer",BE57&lt;&gt;"Transferred",BE57&lt;&gt;"Closed"),"Transfer: record the contract, SLA and audit rights. ","")&amp;IF(AZ57="","Risk owner missing. ","")&amp;IF(K57="","Scenario not written. ",""))))</f>
        <v/>
      </c>
      <c r="BM57" s="82" t="inlineStr">
        <is>
          <t>Wiki example ratings: likelihood Medium, impact High, residual Medium, priority 53.</t>
        </is>
      </c>
    </row>
    <row r="58" ht="105" customHeight="1">
      <c r="A58" s="91" t="inlineStr">
        <is>
          <t>AI-R54</t>
        </is>
      </c>
      <c r="B58" s="92" t="inlineStr">
        <is>
          <t>Agent Actions Others Cannot Identify as AI</t>
        </is>
      </c>
      <c r="C58" s="80" t="inlineStr">
        <is>
          <t>12</t>
        </is>
      </c>
      <c r="D58" s="81">
        <f>IF(C58="","",IFERROR(INDEX(Lists!$O$2:$O$13,MATCH(C58,Lists!$N$2:$N$13,0)),"Check domain code"))</f>
        <v/>
      </c>
      <c r="E58" s="81">
        <f>IF(C58="","",IFERROR(INDEX(Lists!$P$2:$P$13,MATCH(C58,Lists!$N$2:$N$13,0)),""))</f>
        <v/>
      </c>
      <c r="F58" s="80" t="n"/>
      <c r="G58" s="82" t="inlineStr">
        <is>
          <t>Enterprise-wide (all AI use)</t>
        </is>
      </c>
      <c r="H58" s="82" t="n"/>
      <c r="I58" s="82" t="n"/>
      <c r="J58" s="93" t="inlineStr">
        <is>
          <t>When an agent sends messages, makes bookings, files requests or calls other organizations' systems, the people and systems on the other side may not be able to tell that an agent acted, or for whom. That makes disputes hard to resolve and can breach the other party's terms. AI-R07 covers what the agent is allowed to do and AI-R45 covers how its activity looks in your own logs; this risk covers how it appears to others. Required controls include identifying the agent and the organization it acts for in outbound messages and requests where the other party expects it, keeping a record of each external action that names the agent and the user who started it, and following other services' rules on automated access. Adapted from AI Risk Map domain 12 (Autonomy and Delegated Action). No second source has been checked, so this entry is partly the wiki's own framing.</t>
        </is>
      </c>
      <c r="K58" s="82" t="n"/>
      <c r="L58" s="82" t="n"/>
      <c r="M58" s="94" t="inlineStr">
        <is>
          <t>E18</t>
        </is>
      </c>
      <c r="N58" s="21">
        <f>IF(COUNTIF(Triage!$E$6:$E$48,"Yes")+COUNTIF(Triage!$E$6:$E$48,"No")=0,"Not triaged",IF(SUMPRODUCT(COUNTIFS(Triage!$A$6:$A$48,{"E18"},Triage!$E$6:$E$48,"Yes"))&gt;0,"Applies","Not triggered"))</f>
        <v/>
      </c>
      <c r="O58" s="82" t="n"/>
      <c r="P58" s="85" t="n"/>
      <c r="Q58" s="85" t="n">
        <v>2</v>
      </c>
      <c r="R58" s="85" t="n">
        <v>2</v>
      </c>
      <c r="S58" s="21">
        <f>IF(OR(Q58="",R58=""),"",Q58*R58)</f>
        <v/>
      </c>
      <c r="T58" s="21">
        <f>IF(S58="","",INDEX(Settings!$A$20:$A$23,MATCH(S58,Settings!$B$20:$B$23,1)))</f>
        <v/>
      </c>
      <c r="U58" s="82" t="inlineStr">
        <is>
          <t>Qualitative (4 x 4)</t>
        </is>
      </c>
      <c r="V58" s="86" t="n"/>
      <c r="W58" s="85" t="n"/>
      <c r="X58" s="82" t="n"/>
      <c r="Y58" s="95" t="inlineStr">
        <is>
          <t>AI-CTRL-015, AI-CTRL-008, AI-CTRL-006</t>
        </is>
      </c>
      <c r="Z58" s="95" t="inlineStr">
        <is>
          <t>AI-CTRL-015, AI-CTRL-008, AI-CTRL-006</t>
        </is>
      </c>
      <c r="AA58" s="95" t="inlineStr">
        <is>
          <t>Agent and principal identified in outbound actions; external action records; compliance with other services' automation rules</t>
        </is>
      </c>
      <c r="AB58" s="95" t="inlineStr">
        <is>
          <t>Outbound message and request samples; external action logs; reviewed terms of service</t>
        </is>
      </c>
      <c r="AC58" s="95" t="inlineStr">
        <is>
          <t>A.4.2; A.6.2.6; A.6.2.8</t>
        </is>
      </c>
      <c r="AD58" s="95" t="inlineStr">
        <is>
          <t>A.5.15; A.5.16; A.5.17; A.5.28; A.5.33; A.8.5; A.8.15; A.8.16; A.8.17</t>
        </is>
      </c>
      <c r="AE58" s="95" t="inlineStr">
        <is>
          <t>GOVERN 1.6; MANAGE 4.1; MEASURE 2.4; MEASURE 2.7; MEASURE 2.8</t>
        </is>
      </c>
      <c r="AF58" s="95" t="inlineStr">
        <is>
          <t>ASI03; ASI07; ASI10; LLM06:2025</t>
        </is>
      </c>
      <c r="AG58" s="95" t="inlineStr">
        <is>
          <t>AML.T0012; AML.T0073; AML.T0081; AML.T0091</t>
        </is>
      </c>
      <c r="AH58" s="95" t="inlineStr">
        <is>
          <t>Not checked</t>
        </is>
      </c>
      <c r="AI58" s="95" t="inlineStr">
        <is>
          <t>DE.CM; PR.AA; PR.PS</t>
        </is>
      </c>
      <c r="AJ58" s="96" t="inlineStr">
        <is>
          <t>CIS 5; CIS 6; CIS 8</t>
        </is>
      </c>
      <c r="AK58" s="95" t="inlineStr">
        <is>
          <t>CC6.1; CC6.2; CC7.2</t>
        </is>
      </c>
      <c r="AL58" s="95" t="inlineStr">
        <is>
          <t>None</t>
        </is>
      </c>
      <c r="AM58" s="95" t="inlineStr">
        <is>
          <t>12 Action integrity and traceability</t>
        </is>
      </c>
      <c r="AN58" s="95" t="inlineStr">
        <is>
          <t>None</t>
        </is>
      </c>
      <c r="AO58" s="95" t="inlineStr">
        <is>
          <t>None</t>
        </is>
      </c>
      <c r="AP58" s="95" t="inlineStr">
        <is>
          <t>None</t>
        </is>
      </c>
      <c r="AQ58" s="96" t="n">
        <v>1</v>
      </c>
      <c r="AR58" s="96" t="n">
        <v>75</v>
      </c>
      <c r="AS58" s="85" t="n"/>
      <c r="AT58" s="85" t="n"/>
      <c r="AU58" s="21">
        <f>IF(OR(AS58="",AT58=""),"",AS58*AT58)</f>
        <v/>
      </c>
      <c r="AV58" s="21">
        <f>IF(AU58="","",INDEX(Settings!$A$20:$A$23,MATCH(AU58,Settings!$B$20:$B$23,1)))</f>
        <v/>
      </c>
      <c r="AW58" s="21">
        <f>IF(AV58&lt;&gt;"",AV58,T58)</f>
        <v/>
      </c>
      <c r="AX58" s="21">
        <f>IF(AW58="","",IF(MATCH(AW58,Settings!$A$20:$A$23,0)&lt;=MATCH(Settings!$C$28,Settings!$A$20:$A$23,0),"Yes","No"))</f>
        <v/>
      </c>
      <c r="AY58" s="81">
        <f>IF(AW58="","",IF(AX58="Yes",INDEX(Settings!$G$20:$G$23,MATCH(AW58,Settings!$A$20:$A$23,0)),INDEX(Settings!$G$20:$G$23,MATCH(AW58,Settings!$A$20:$A$23,0))&amp;" (outside appetite)"))</f>
        <v/>
      </c>
      <c r="AZ58" s="82" t="n"/>
      <c r="BA58" s="82" t="n"/>
      <c r="BB58" s="89" t="n"/>
      <c r="BC58" s="90">
        <f>IF(OR(BB58="",T58=""),"",BB58+INDEX(Settings!$E$20:$E$23,MATCH(T58,Settings!$A$20:$A$23,0)))</f>
        <v/>
      </c>
      <c r="BD58" s="89" t="n"/>
      <c r="BE58" s="82" t="n"/>
      <c r="BF58" s="81">
        <f>IF(A58="","",IF(OR(BE58="Closed",BE58="Accepted"),"No action",IF(BB58="","Set date identified",IF(TODAY()&gt;BC58,"Deadline exceeded",IF(BC58-TODAY()&lt;=Settings!$C$30,"Deadline approaching","On track")))))</f>
        <v/>
      </c>
      <c r="BG58" s="89" t="n"/>
      <c r="BH58" s="89" t="n"/>
      <c r="BI58" s="90">
        <f>IF(OR(BH58="",AW58=""),"",EDATE(BH58,INDEX(Settings!$F$20:$F$23,MATCH(AW58,Settings!$A$20:$A$23,0))))</f>
        <v/>
      </c>
      <c r="BJ58" s="21">
        <f>IF(T58="","",IF(MAX(IF(T58="",0,MATCH(T58,Settings!$A$20:$A$23,0)),IF(AV58="",0,MATCH(AV58,Settings!$A$20:$A$23,0)))&gt;=MATCH(Settings!$C$29,Settings!$A$20:$A$23,0),"Yes","No"))</f>
        <v/>
      </c>
      <c r="BK58" s="82" t="n"/>
      <c r="BL58" s="81">
        <f>IF(A58="","",IF(TRIM(IF(W58="","Treatment not chosen. ","")&amp;IF(AND(W58="Accept",AX58="No"),"Accepted outside appetite: record approval by "&amp;INDEX(Settings!$G$20:$G$23,MATCH(AW58,Settings!$A$20:$A$23,0))&amp;". ","")&amp;IF(AND(W58="Accept",BG58=""),"Acceptance expiry missing. ","")&amp;IF(AND(BG58&lt;&gt;"",BG58&lt;TODAY()),"Acceptance expired. ","")&amp;IF(AND(W58&lt;&gt;"",W58&lt;&gt;"Accept",AV58=""),"Target rating not set. ","")&amp;IF(AND(BE58="Closed",AX58="No"),"Closed while outside appetite. ","")&amp;IF(AND(W58="Transfer",BE58&lt;&gt;"Transferred",BE58&lt;&gt;"Closed"),"Transfer: record the contract, SLA and audit rights. ","")&amp;IF(AZ58="","Risk owner missing. ","")&amp;IF(K58="","Scenario not written. ",""))="","OK",TRIM(IF(W58="","Treatment not chosen. ","")&amp;IF(AND(W58="Accept",AX58="No"),"Accepted outside appetite: record approval by "&amp;INDEX(Settings!$G$20:$G$23,MATCH(AW58,Settings!$A$20:$A$23,0))&amp;". ","")&amp;IF(AND(W58="Accept",BG58=""),"Acceptance expiry missing. ","")&amp;IF(AND(BG58&lt;&gt;"",BG58&lt;TODAY()),"Acceptance expired. ","")&amp;IF(AND(W58&lt;&gt;"",W58&lt;&gt;"Accept",AV58=""),"Target rating not set. ","")&amp;IF(AND(BE58="Closed",AX58="No"),"Closed while outside appetite. ","")&amp;IF(AND(W58="Transfer",BE58&lt;&gt;"Transferred",BE58&lt;&gt;"Closed"),"Transfer: record the contract, SLA and audit rights. ","")&amp;IF(AZ58="","Risk owner missing. ","")&amp;IF(K58="","Scenario not written. ",""))))</f>
        <v/>
      </c>
      <c r="BM58" s="82" t="inlineStr">
        <is>
          <t>Wiki example ratings: likelihood Medium, impact Medium, residual Medium, priority 54.</t>
        </is>
      </c>
    </row>
    <row r="59" ht="105" customHeight="1">
      <c r="A59" s="78" t="inlineStr">
        <is>
          <t>AI-R55</t>
        </is>
      </c>
      <c r="B59" s="79" t="inlineStr">
        <is>
          <t>AI-Accelerated Exploitation and Patch Gap</t>
        </is>
      </c>
      <c r="C59" s="80" t="inlineStr">
        <is>
          <t>05</t>
        </is>
      </c>
      <c r="D59" s="81">
        <f>IF(C59="","",IFERROR(INDEX(Lists!$O$2:$O$13,MATCH(C59,Lists!$N$2:$N$13,0)),"Check domain code"))</f>
        <v/>
      </c>
      <c r="E59" s="81">
        <f>IF(C59="","",IFERROR(INDEX(Lists!$P$2:$P$13,MATCH(C59,Lists!$N$2:$N$13,0)),""))</f>
        <v/>
      </c>
      <c r="F59" s="80" t="n"/>
      <c r="G59" s="82" t="inlineStr">
        <is>
          <t>Enterprise-wide (all AI use)</t>
        </is>
      </c>
      <c r="H59" s="82" t="n"/>
      <c r="I59" s="82" t="n"/>
      <c r="J59" s="83" t="inlineStr">
        <is>
          <t>Attackers use AI to find vulnerabilities, turn them into working exploits and chain them together, faster and at greater volume than before, and each new model tends to be better at it. The time between disclosure and exploitation shrinks while the number of findings and patches grows, so vulnerability management sized for human attackers falls behind, and controls that only make an attack slow or tedious stop protecting. AI-R08 and AI-R52 cover weaknesses in the organization's own AI components; this risk covers what attackers' use of AI does to the exposure of all its systems. Required controls include a complete inventory of systems and the software on them, continuous rather than only periodic vulnerability scanning, a triage and ranking process sized for a higher volume of findings, remediation and exception time limits set on the assumption of fast exploitation, controls whose strength does not depend on attacker effort (cryptography, defined segmentation, deterministic authorisation), and design that limits the blast radius of a breach. Where AI agents are used to find and fix vulnerabilities at the same speed, govern their changes as in TC-L14-023. Named in the PCI SSC information supplement Security Considerations for AI Systems (September 2026; see the PCI DSS AI Crosswalk) and in the UK NCSC assessment Impact of AI on cyber threat from now to 2027 (7 May 2025), which says the time between disclosure and exploitation "has shrunk to days and AI will almost certainly reduce this further" (NCSC, read 29 October 2026). Most of its treatment is general vulnerability management, which this wiki does not cover; the controls mapped to it address the AI-specific part.</t>
        </is>
      </c>
      <c r="K59" s="82" t="n"/>
      <c r="L59" s="82" t="n"/>
      <c r="M59" s="84" t="inlineStr"/>
      <c r="N59" s="21">
        <f>IF(COUNTIF(Triage!$E$6:$E$48,"Yes")+COUNTIF(Triage!$E$6:$E$48,"No")=0,"Not triaged",IF(SUMPRODUCT(COUNTIFS(Triage!$A$6:$A$48,{},Triage!$E$6:$E$48,"Yes"))&gt;0,"Applies","Not triggered"))</f>
        <v/>
      </c>
      <c r="O59" s="82" t="n"/>
      <c r="P59" s="85" t="n"/>
      <c r="Q59" s="85" t="n">
        <v>3</v>
      </c>
      <c r="R59" s="85" t="n">
        <v>3</v>
      </c>
      <c r="S59" s="21">
        <f>IF(OR(Q59="",R59=""),"",Q59*R59)</f>
        <v/>
      </c>
      <c r="T59" s="21">
        <f>IF(S59="","",INDEX(Settings!$A$20:$A$23,MATCH(S59,Settings!$B$20:$B$23,1)))</f>
        <v/>
      </c>
      <c r="U59" s="82" t="inlineStr">
        <is>
          <t>Qualitative (4 x 4)</t>
        </is>
      </c>
      <c r="V59" s="86" t="n"/>
      <c r="W59" s="85" t="n"/>
      <c r="X59" s="82" t="n"/>
      <c r="Y59" s="87" t="inlineStr">
        <is>
          <t>AI-CTRL-037, AI-CTRL-027, AI-CTRL-033, AI-CTRL-025</t>
        </is>
      </c>
      <c r="Z59" s="87" t="inlineStr">
        <is>
          <t>AI-CTRL-027, AI-CTRL-033, AI-CTRL-025</t>
        </is>
      </c>
      <c r="AA59" s="87" t="inlineStr">
        <is>
          <t>Remediation and exception time limits set for fast exploitation; triage sized for higher volume; blast-radius limits; governed AI agents for patching</t>
        </is>
      </c>
      <c r="AB59" s="87" t="inlineStr">
        <is>
          <t>Vulnerability remediation and exception time limits; triage capacity records; segmentation and isolation tests; change records for agent-made patches</t>
        </is>
      </c>
      <c r="AC59" s="87" t="inlineStr">
        <is>
          <t>A.4.5; A.5.2; A.6.1.2; A.6.1.3; A.6.2.2; A.6.2.4; A.6.2.5; A.6.2.6; Clause 6.1.2; Clause 6.1.3</t>
        </is>
      </c>
      <c r="AD59" s="87" t="inlineStr">
        <is>
          <t>A.5.8; A.5.18; A.5.26; A.8.22; A.8.25; A.8.27; A.8.29; A.8.31; A.8.32; Clause 6.1.2; Clause 6.1.3</t>
        </is>
      </c>
      <c r="AE59" s="87" t="inlineStr">
        <is>
          <t>GOVERN 1.3; GOVERN 4.2; MANAGE 1.1; MANAGE 1.2; MANAGE 1.3; MANAGE 1.4; MANAGE 2.3; MANAGE 2.4; MAP 1.5; MEASURE 2.7</t>
        </is>
      </c>
      <c r="AF59" s="87" t="inlineStr">
        <is>
          <t>ASI05; ASI08; ASI10; LLM06:2025</t>
        </is>
      </c>
      <c r="AG59" s="87" t="inlineStr">
        <is>
          <t>AML.T0034; AML.T0050; AML.T0053; AML.T0102; AML.T0105</t>
        </is>
      </c>
      <c r="AH59" s="87" t="inlineStr">
        <is>
          <t>Not checked</t>
        </is>
      </c>
      <c r="AI59" s="87" t="inlineStr">
        <is>
          <t>GV.RM; ID.RA; PR.IR; PR.PS; RS.MA; RS.MI</t>
        </is>
      </c>
      <c r="AJ59" s="88" t="inlineStr">
        <is>
          <t>CIS 4; CIS 6; CIS 12; CIS 16; CIS 17</t>
        </is>
      </c>
      <c r="AK59" s="87" t="inlineStr">
        <is>
          <t>CC3.1; CC3.2; CC3.4; CC6.2; CC6.6; CC6.8; CC7.4; CC8.1; CC9.1</t>
        </is>
      </c>
      <c r="AL59" s="87" t="inlineStr">
        <is>
          <t>None</t>
        </is>
      </c>
      <c r="AM59" s="87" t="inlineStr">
        <is>
          <t>None</t>
        </is>
      </c>
      <c r="AN59" s="87" t="inlineStr">
        <is>
          <t>None</t>
        </is>
      </c>
      <c r="AO59" s="87" t="inlineStr">
        <is>
          <t>OECD AI Principles: Principle 1.4, Principle 1.5; EU Ethics Guidelines: Human agency and oversight, Accountability; UNESCO Recommendation: Proportionality and do no harm; IEEE 7000-series: IEEE 7000-2021; Council of Europe AI Convention: Art. 16; G7 Hiroshima Code: Action 1, Action 5</t>
        </is>
      </c>
      <c r="AP59" s="87" t="inlineStr">
        <is>
          <t>GCC: U9, S5, Q4, O1; EU: E1c, E8, E17; UK: UK5, UK6, UK13; US: US5, US8, US12, US15, US16; Australia: AU4; Brazil: BR1; Canada: CA4, CA6; China: CN5; India: IN5, IN6, IN13; Japan: JP3, JP6; Singapore: SG1, SG2, SG5, SG7, MAS 1.6, 2.1 to 2.2, MAS 3.1 to 3.4, MAS 4.10 to 4.13, MAS 5.3, MAS 5.12 to 5.13, MAS 5.18 to 5.21, MAS 5.22, MAS 5.25; South: KR3, KR4</t>
        </is>
      </c>
      <c r="AQ59" s="88" t="n">
        <v>149</v>
      </c>
      <c r="AR59" s="88" t="n">
        <v>42</v>
      </c>
      <c r="AS59" s="85" t="n"/>
      <c r="AT59" s="85" t="n"/>
      <c r="AU59" s="21">
        <f>IF(OR(AS59="",AT59=""),"",AS59*AT59)</f>
        <v/>
      </c>
      <c r="AV59" s="21">
        <f>IF(AU59="","",INDEX(Settings!$A$20:$A$23,MATCH(AU59,Settings!$B$20:$B$23,1)))</f>
        <v/>
      </c>
      <c r="AW59" s="21">
        <f>IF(AV59&lt;&gt;"",AV59,T59)</f>
        <v/>
      </c>
      <c r="AX59" s="21">
        <f>IF(AW59="","",IF(MATCH(AW59,Settings!$A$20:$A$23,0)&lt;=MATCH(Settings!$C$28,Settings!$A$20:$A$23,0),"Yes","No"))</f>
        <v/>
      </c>
      <c r="AY59" s="81">
        <f>IF(AW59="","",IF(AX59="Yes",INDEX(Settings!$G$20:$G$23,MATCH(AW59,Settings!$A$20:$A$23,0)),INDEX(Settings!$G$20:$G$23,MATCH(AW59,Settings!$A$20:$A$23,0))&amp;" (outside appetite)"))</f>
        <v/>
      </c>
      <c r="AZ59" s="82" t="n"/>
      <c r="BA59" s="82" t="n"/>
      <c r="BB59" s="89" t="n"/>
      <c r="BC59" s="90">
        <f>IF(OR(BB59="",T59=""),"",BB59+INDEX(Settings!$E$20:$E$23,MATCH(T59,Settings!$A$20:$A$23,0)))</f>
        <v/>
      </c>
      <c r="BD59" s="89" t="n"/>
      <c r="BE59" s="82" t="n"/>
      <c r="BF59" s="81">
        <f>IF(A59="","",IF(OR(BE59="Closed",BE59="Accepted"),"No action",IF(BB59="","Set date identified",IF(TODAY()&gt;BC59,"Deadline exceeded",IF(BC59-TODAY()&lt;=Settings!$C$30,"Deadline approaching","On track")))))</f>
        <v/>
      </c>
      <c r="BG59" s="89" t="n"/>
      <c r="BH59" s="89" t="n"/>
      <c r="BI59" s="90">
        <f>IF(OR(BH59="",AW59=""),"",EDATE(BH59,INDEX(Settings!$F$20:$F$23,MATCH(AW59,Settings!$A$20:$A$23,0))))</f>
        <v/>
      </c>
      <c r="BJ59" s="21">
        <f>IF(T59="","",IF(MAX(IF(T59="",0,MATCH(T59,Settings!$A$20:$A$23,0)),IF(AV59="",0,MATCH(AV59,Settings!$A$20:$A$23,0)))&gt;=MATCH(Settings!$C$29,Settings!$A$20:$A$23,0),"Yes","No"))</f>
        <v/>
      </c>
      <c r="BK59" s="82" t="n"/>
      <c r="BL59" s="81">
        <f>IF(A59="","",IF(TRIM(IF(W59="","Treatment not chosen. ","")&amp;IF(AND(W59="Accept",AX59="No"),"Accepted outside appetite: record approval by "&amp;INDEX(Settings!$G$20:$G$23,MATCH(AW59,Settings!$A$20:$A$23,0))&amp;". ","")&amp;IF(AND(W59="Accept",BG59=""),"Acceptance expiry missing. ","")&amp;IF(AND(BG59&lt;&gt;"",BG59&lt;TODAY()),"Acceptance expired. ","")&amp;IF(AND(W59&lt;&gt;"",W59&lt;&gt;"Accept",AV59=""),"Target rating not set. ","")&amp;IF(AND(BE59="Closed",AX59="No"),"Closed while outside appetite. ","")&amp;IF(AND(W59="Transfer",BE59&lt;&gt;"Transferred",BE59&lt;&gt;"Closed"),"Transfer: record the contract, SLA and audit rights. ","")&amp;IF(AZ59="","Risk owner missing. ","")&amp;IF(K59="","Scenario not written. ",""))="","OK",TRIM(IF(W59="","Treatment not chosen. ","")&amp;IF(AND(W59="Accept",AX59="No"),"Accepted outside appetite: record approval by "&amp;INDEX(Settings!$G$20:$G$23,MATCH(AW59,Settings!$A$20:$A$23,0))&amp;". ","")&amp;IF(AND(W59="Accept",BG59=""),"Acceptance expiry missing. ","")&amp;IF(AND(BG59&lt;&gt;"",BG59&lt;TODAY()),"Acceptance expired. ","")&amp;IF(AND(W59&lt;&gt;"",W59&lt;&gt;"Accept",AV59=""),"Target rating not set. ","")&amp;IF(AND(BE59="Closed",AX59="No"),"Closed while outside appetite. ","")&amp;IF(AND(W59="Transfer",BE59&lt;&gt;"Transferred",BE59&lt;&gt;"Closed"),"Transfer: record the contract, SLA and audit rights. ","")&amp;IF(AZ59="","Risk owner missing. ","")&amp;IF(K59="","Scenario not written. ",""))))</f>
        <v/>
      </c>
      <c r="BM59" s="82" t="inlineStr">
        <is>
          <t>Wiki example ratings: likelihood High, impact High, residual High, priority 55.</t>
        </is>
      </c>
    </row>
    <row r="60">
      <c r="A60" s="94" t="n"/>
      <c r="B60" s="93" t="n"/>
      <c r="C60" s="80" t="n"/>
      <c r="D60" s="81">
        <f>IF(C60="","",IFERROR(INDEX(Lists!$O$2:$O$13,MATCH(C60,Lists!$N$2:$N$13,0)),"Check domain code"))</f>
        <v/>
      </c>
      <c r="E60" s="81">
        <f>IF(C60="","",IFERROR(INDEX(Lists!$P$2:$P$13,MATCH(C60,Lists!$N$2:$N$13,0)),""))</f>
        <v/>
      </c>
      <c r="F60" s="80" t="n"/>
      <c r="G60" s="82" t="n"/>
      <c r="H60" s="82" t="n"/>
      <c r="I60" s="82" t="n"/>
      <c r="J60" s="93" t="n"/>
      <c r="K60" s="82" t="n"/>
      <c r="L60" s="82" t="n"/>
      <c r="M60" s="94" t="n"/>
      <c r="N60" s="21" t="n"/>
      <c r="O60" s="82" t="n"/>
      <c r="P60" s="85" t="n"/>
      <c r="Q60" s="85" t="n"/>
      <c r="R60" s="85" t="n"/>
      <c r="S60" s="21">
        <f>IF(OR(Q60="",R60=""),"",Q60*R60)</f>
        <v/>
      </c>
      <c r="T60" s="21">
        <f>IF(S60="","",INDEX(Settings!$A$20:$A$23,MATCH(S60,Settings!$B$20:$B$23,1)))</f>
        <v/>
      </c>
      <c r="U60" s="82" t="n"/>
      <c r="V60" s="86" t="n"/>
      <c r="W60" s="85" t="n"/>
      <c r="X60" s="82" t="n"/>
      <c r="Y60" s="95" t="n"/>
      <c r="Z60" s="95" t="n"/>
      <c r="AA60" s="95" t="n"/>
      <c r="AB60" s="95" t="n"/>
      <c r="AC60" s="95" t="n"/>
      <c r="AD60" s="95" t="n"/>
      <c r="AE60" s="95" t="n"/>
      <c r="AF60" s="95" t="n"/>
      <c r="AG60" s="95" t="n"/>
      <c r="AH60" s="95" t="n"/>
      <c r="AI60" s="95" t="n"/>
      <c r="AJ60" s="96" t="n"/>
      <c r="AK60" s="95" t="n"/>
      <c r="AL60" s="95" t="n"/>
      <c r="AM60" s="95" t="n"/>
      <c r="AN60" s="95" t="n"/>
      <c r="AO60" s="95" t="n"/>
      <c r="AP60" s="95" t="n"/>
      <c r="AQ60" s="96" t="n"/>
      <c r="AR60" s="96" t="n"/>
      <c r="AS60" s="85" t="n"/>
      <c r="AT60" s="85" t="n"/>
      <c r="AU60" s="21">
        <f>IF(OR(AS60="",AT60=""),"",AS60*AT60)</f>
        <v/>
      </c>
      <c r="AV60" s="21">
        <f>IF(AU60="","",INDEX(Settings!$A$20:$A$23,MATCH(AU60,Settings!$B$20:$B$23,1)))</f>
        <v/>
      </c>
      <c r="AW60" s="21">
        <f>IF(AV60&lt;&gt;"",AV60,T60)</f>
        <v/>
      </c>
      <c r="AX60" s="21">
        <f>IF(AW60="","",IF(MATCH(AW60,Settings!$A$20:$A$23,0)&lt;=MATCH(Settings!$C$28,Settings!$A$20:$A$23,0),"Yes","No"))</f>
        <v/>
      </c>
      <c r="AY60" s="81">
        <f>IF(AW60="","",IF(AX60="Yes",INDEX(Settings!$G$20:$G$23,MATCH(AW60,Settings!$A$20:$A$23,0)),INDEX(Settings!$G$20:$G$23,MATCH(AW60,Settings!$A$20:$A$23,0))&amp;" (outside appetite)"))</f>
        <v/>
      </c>
      <c r="AZ60" s="82" t="n"/>
      <c r="BA60" s="82" t="n"/>
      <c r="BB60" s="89" t="n"/>
      <c r="BC60" s="90">
        <f>IF(OR(BB60="",T60=""),"",BB60+INDEX(Settings!$E$20:$E$23,MATCH(T60,Settings!$A$20:$A$23,0)))</f>
        <v/>
      </c>
      <c r="BD60" s="89" t="n"/>
      <c r="BE60" s="82" t="n"/>
      <c r="BF60" s="81">
        <f>IF(A60="","",IF(OR(BE60="Closed",BE60="Accepted"),"No action",IF(BB60="","Set date identified",IF(TODAY()&gt;BC60,"Deadline exceeded",IF(BC60-TODAY()&lt;=Settings!$C$30,"Deadline approaching","On track")))))</f>
        <v/>
      </c>
      <c r="BG60" s="89" t="n"/>
      <c r="BH60" s="89" t="n"/>
      <c r="BI60" s="90">
        <f>IF(OR(BH60="",AW60=""),"",EDATE(BH60,INDEX(Settings!$F$20:$F$23,MATCH(AW60,Settings!$A$20:$A$23,0))))</f>
        <v/>
      </c>
      <c r="BJ60" s="21">
        <f>IF(T60="","",IF(MAX(IF(T60="",0,MATCH(T60,Settings!$A$20:$A$23,0)),IF(AV60="",0,MATCH(AV60,Settings!$A$20:$A$23,0)))&gt;=MATCH(Settings!$C$29,Settings!$A$20:$A$23,0),"Yes","No"))</f>
        <v/>
      </c>
      <c r="BK60" s="82" t="n"/>
      <c r="BL60" s="81">
        <f>IF(A60="","",IF(TRIM(IF(W60="","Treatment not chosen. ","")&amp;IF(AND(W60="Accept",AX60="No"),"Accepted outside appetite: record approval by "&amp;INDEX(Settings!$G$20:$G$23,MATCH(AW60,Settings!$A$20:$A$23,0))&amp;". ","")&amp;IF(AND(W60="Accept",BG60=""),"Acceptance expiry missing. ","")&amp;IF(AND(BG60&lt;&gt;"",BG60&lt;TODAY()),"Acceptance expired. ","")&amp;IF(AND(W60&lt;&gt;"",W60&lt;&gt;"Accept",AV60=""),"Target rating not set. ","")&amp;IF(AND(BE60="Closed",AX60="No"),"Closed while outside appetite. ","")&amp;IF(AND(W60="Transfer",BE60&lt;&gt;"Transferred",BE60&lt;&gt;"Closed"),"Transfer: record the contract, SLA and audit rights. ","")&amp;IF(AZ60="","Risk owner missing. ","")&amp;IF(K60="","Scenario not written. ",""))="","OK",TRIM(IF(W60="","Treatment not chosen. ","")&amp;IF(AND(W60="Accept",AX60="No"),"Accepted outside appetite: record approval by "&amp;INDEX(Settings!$G$20:$G$23,MATCH(AW60,Settings!$A$20:$A$23,0))&amp;". ","")&amp;IF(AND(W60="Accept",BG60=""),"Acceptance expiry missing. ","")&amp;IF(AND(BG60&lt;&gt;"",BG60&lt;TODAY()),"Acceptance expired. ","")&amp;IF(AND(W60&lt;&gt;"",W60&lt;&gt;"Accept",AV60=""),"Target rating not set. ","")&amp;IF(AND(BE60="Closed",AX60="No"),"Closed while outside appetite. ","")&amp;IF(AND(W60="Transfer",BE60&lt;&gt;"Transferred",BE60&lt;&gt;"Closed"),"Transfer: record the contract, SLA and audit rights. ","")&amp;IF(AZ60="","Risk owner missing. ","")&amp;IF(K60="","Scenario not written. ",""))))</f>
        <v/>
      </c>
      <c r="BM60" s="82" t="n"/>
    </row>
    <row r="61">
      <c r="A61" s="84" t="n"/>
      <c r="B61" s="83" t="n"/>
      <c r="C61" s="80" t="n"/>
      <c r="D61" s="81">
        <f>IF(C61="","",IFERROR(INDEX(Lists!$O$2:$O$13,MATCH(C61,Lists!$N$2:$N$13,0)),"Check domain code"))</f>
        <v/>
      </c>
      <c r="E61" s="81">
        <f>IF(C61="","",IFERROR(INDEX(Lists!$P$2:$P$13,MATCH(C61,Lists!$N$2:$N$13,0)),""))</f>
        <v/>
      </c>
      <c r="F61" s="80" t="n"/>
      <c r="G61" s="82" t="n"/>
      <c r="H61" s="82" t="n"/>
      <c r="I61" s="82" t="n"/>
      <c r="J61" s="83" t="n"/>
      <c r="K61" s="82" t="n"/>
      <c r="L61" s="82" t="n"/>
      <c r="M61" s="84" t="n"/>
      <c r="N61" s="21" t="n"/>
      <c r="O61" s="82" t="n"/>
      <c r="P61" s="85" t="n"/>
      <c r="Q61" s="85" t="n"/>
      <c r="R61" s="85" t="n"/>
      <c r="S61" s="21">
        <f>IF(OR(Q61="",R61=""),"",Q61*R61)</f>
        <v/>
      </c>
      <c r="T61" s="21">
        <f>IF(S61="","",INDEX(Settings!$A$20:$A$23,MATCH(S61,Settings!$B$20:$B$23,1)))</f>
        <v/>
      </c>
      <c r="U61" s="82" t="n"/>
      <c r="V61" s="86" t="n"/>
      <c r="W61" s="85" t="n"/>
      <c r="X61" s="82" t="n"/>
      <c r="Y61" s="87" t="n"/>
      <c r="Z61" s="87" t="n"/>
      <c r="AA61" s="87" t="n"/>
      <c r="AB61" s="87" t="n"/>
      <c r="AC61" s="87" t="n"/>
      <c r="AD61" s="87" t="n"/>
      <c r="AE61" s="87" t="n"/>
      <c r="AF61" s="87" t="n"/>
      <c r="AG61" s="87" t="n"/>
      <c r="AH61" s="87" t="n"/>
      <c r="AI61" s="87" t="n"/>
      <c r="AJ61" s="88" t="n"/>
      <c r="AK61" s="87" t="n"/>
      <c r="AL61" s="87" t="n"/>
      <c r="AM61" s="87" t="n"/>
      <c r="AN61" s="87" t="n"/>
      <c r="AO61" s="87" t="n"/>
      <c r="AP61" s="87" t="n"/>
      <c r="AQ61" s="88" t="n"/>
      <c r="AR61" s="88" t="n"/>
      <c r="AS61" s="85" t="n"/>
      <c r="AT61" s="85" t="n"/>
      <c r="AU61" s="21">
        <f>IF(OR(AS61="",AT61=""),"",AS61*AT61)</f>
        <v/>
      </c>
      <c r="AV61" s="21">
        <f>IF(AU61="","",INDEX(Settings!$A$20:$A$23,MATCH(AU61,Settings!$B$20:$B$23,1)))</f>
        <v/>
      </c>
      <c r="AW61" s="21">
        <f>IF(AV61&lt;&gt;"",AV61,T61)</f>
        <v/>
      </c>
      <c r="AX61" s="21">
        <f>IF(AW61="","",IF(MATCH(AW61,Settings!$A$20:$A$23,0)&lt;=MATCH(Settings!$C$28,Settings!$A$20:$A$23,0),"Yes","No"))</f>
        <v/>
      </c>
      <c r="AY61" s="81">
        <f>IF(AW61="","",IF(AX61="Yes",INDEX(Settings!$G$20:$G$23,MATCH(AW61,Settings!$A$20:$A$23,0)),INDEX(Settings!$G$20:$G$23,MATCH(AW61,Settings!$A$20:$A$23,0))&amp;" (outside appetite)"))</f>
        <v/>
      </c>
      <c r="AZ61" s="82" t="n"/>
      <c r="BA61" s="82" t="n"/>
      <c r="BB61" s="89" t="n"/>
      <c r="BC61" s="90">
        <f>IF(OR(BB61="",T61=""),"",BB61+INDEX(Settings!$E$20:$E$23,MATCH(T61,Settings!$A$20:$A$23,0)))</f>
        <v/>
      </c>
      <c r="BD61" s="89" t="n"/>
      <c r="BE61" s="82" t="n"/>
      <c r="BF61" s="81">
        <f>IF(A61="","",IF(OR(BE61="Closed",BE61="Accepted"),"No action",IF(BB61="","Set date identified",IF(TODAY()&gt;BC61,"Deadline exceeded",IF(BC61-TODAY()&lt;=Settings!$C$30,"Deadline approaching","On track")))))</f>
        <v/>
      </c>
      <c r="BG61" s="89" t="n"/>
      <c r="BH61" s="89" t="n"/>
      <c r="BI61" s="90">
        <f>IF(OR(BH61="",AW61=""),"",EDATE(BH61,INDEX(Settings!$F$20:$F$23,MATCH(AW61,Settings!$A$20:$A$23,0))))</f>
        <v/>
      </c>
      <c r="BJ61" s="21">
        <f>IF(T61="","",IF(MAX(IF(T61="",0,MATCH(T61,Settings!$A$20:$A$23,0)),IF(AV61="",0,MATCH(AV61,Settings!$A$20:$A$23,0)))&gt;=MATCH(Settings!$C$29,Settings!$A$20:$A$23,0),"Yes","No"))</f>
        <v/>
      </c>
      <c r="BK61" s="82" t="n"/>
      <c r="BL61" s="81">
        <f>IF(A61="","",IF(TRIM(IF(W61="","Treatment not chosen. ","")&amp;IF(AND(W61="Accept",AX61="No"),"Accepted outside appetite: record approval by "&amp;INDEX(Settings!$G$20:$G$23,MATCH(AW61,Settings!$A$20:$A$23,0))&amp;". ","")&amp;IF(AND(W61="Accept",BG61=""),"Acceptance expiry missing. ","")&amp;IF(AND(BG61&lt;&gt;"",BG61&lt;TODAY()),"Acceptance expired. ","")&amp;IF(AND(W61&lt;&gt;"",W61&lt;&gt;"Accept",AV61=""),"Target rating not set. ","")&amp;IF(AND(BE61="Closed",AX61="No"),"Closed while outside appetite. ","")&amp;IF(AND(W61="Transfer",BE61&lt;&gt;"Transferred",BE61&lt;&gt;"Closed"),"Transfer: record the contract, SLA and audit rights. ","")&amp;IF(AZ61="","Risk owner missing. ","")&amp;IF(K61="","Scenario not written. ",""))="","OK",TRIM(IF(W61="","Treatment not chosen. ","")&amp;IF(AND(W61="Accept",AX61="No"),"Accepted outside appetite: record approval by "&amp;INDEX(Settings!$G$20:$G$23,MATCH(AW61,Settings!$A$20:$A$23,0))&amp;". ","")&amp;IF(AND(W61="Accept",BG61=""),"Acceptance expiry missing. ","")&amp;IF(AND(BG61&lt;&gt;"",BG61&lt;TODAY()),"Acceptance expired. ","")&amp;IF(AND(W61&lt;&gt;"",W61&lt;&gt;"Accept",AV61=""),"Target rating not set. ","")&amp;IF(AND(BE61="Closed",AX61="No"),"Closed while outside appetite. ","")&amp;IF(AND(W61="Transfer",BE61&lt;&gt;"Transferred",BE61&lt;&gt;"Closed"),"Transfer: record the contract, SLA and audit rights. ","")&amp;IF(AZ61="","Risk owner missing. ","")&amp;IF(K61="","Scenario not written. ",""))))</f>
        <v/>
      </c>
      <c r="BM61" s="82" t="n"/>
    </row>
    <row r="62">
      <c r="A62" s="94" t="n"/>
      <c r="B62" s="93" t="n"/>
      <c r="C62" s="80" t="n"/>
      <c r="D62" s="81">
        <f>IF(C62="","",IFERROR(INDEX(Lists!$O$2:$O$13,MATCH(C62,Lists!$N$2:$N$13,0)),"Check domain code"))</f>
        <v/>
      </c>
      <c r="E62" s="81">
        <f>IF(C62="","",IFERROR(INDEX(Lists!$P$2:$P$13,MATCH(C62,Lists!$N$2:$N$13,0)),""))</f>
        <v/>
      </c>
      <c r="F62" s="80" t="n"/>
      <c r="G62" s="82" t="n"/>
      <c r="H62" s="82" t="n"/>
      <c r="I62" s="82" t="n"/>
      <c r="J62" s="93" t="n"/>
      <c r="K62" s="82" t="n"/>
      <c r="L62" s="82" t="n"/>
      <c r="M62" s="94" t="n"/>
      <c r="N62" s="21" t="n"/>
      <c r="O62" s="82" t="n"/>
      <c r="P62" s="85" t="n"/>
      <c r="Q62" s="85" t="n"/>
      <c r="R62" s="85" t="n"/>
      <c r="S62" s="21">
        <f>IF(OR(Q62="",R62=""),"",Q62*R62)</f>
        <v/>
      </c>
      <c r="T62" s="21">
        <f>IF(S62="","",INDEX(Settings!$A$20:$A$23,MATCH(S62,Settings!$B$20:$B$23,1)))</f>
        <v/>
      </c>
      <c r="U62" s="82" t="n"/>
      <c r="V62" s="86" t="n"/>
      <c r="W62" s="85" t="n"/>
      <c r="X62" s="82" t="n"/>
      <c r="Y62" s="95" t="n"/>
      <c r="Z62" s="95" t="n"/>
      <c r="AA62" s="95" t="n"/>
      <c r="AB62" s="95" t="n"/>
      <c r="AC62" s="95" t="n"/>
      <c r="AD62" s="95" t="n"/>
      <c r="AE62" s="95" t="n"/>
      <c r="AF62" s="95" t="n"/>
      <c r="AG62" s="95" t="n"/>
      <c r="AH62" s="95" t="n"/>
      <c r="AI62" s="95" t="n"/>
      <c r="AJ62" s="96" t="n"/>
      <c r="AK62" s="95" t="n"/>
      <c r="AL62" s="95" t="n"/>
      <c r="AM62" s="95" t="n"/>
      <c r="AN62" s="95" t="n"/>
      <c r="AO62" s="95" t="n"/>
      <c r="AP62" s="95" t="n"/>
      <c r="AQ62" s="96" t="n"/>
      <c r="AR62" s="96" t="n"/>
      <c r="AS62" s="85" t="n"/>
      <c r="AT62" s="85" t="n"/>
      <c r="AU62" s="21">
        <f>IF(OR(AS62="",AT62=""),"",AS62*AT62)</f>
        <v/>
      </c>
      <c r="AV62" s="21">
        <f>IF(AU62="","",INDEX(Settings!$A$20:$A$23,MATCH(AU62,Settings!$B$20:$B$23,1)))</f>
        <v/>
      </c>
      <c r="AW62" s="21">
        <f>IF(AV62&lt;&gt;"",AV62,T62)</f>
        <v/>
      </c>
      <c r="AX62" s="21">
        <f>IF(AW62="","",IF(MATCH(AW62,Settings!$A$20:$A$23,0)&lt;=MATCH(Settings!$C$28,Settings!$A$20:$A$23,0),"Yes","No"))</f>
        <v/>
      </c>
      <c r="AY62" s="81">
        <f>IF(AW62="","",IF(AX62="Yes",INDEX(Settings!$G$20:$G$23,MATCH(AW62,Settings!$A$20:$A$23,0)),INDEX(Settings!$G$20:$G$23,MATCH(AW62,Settings!$A$20:$A$23,0))&amp;" (outside appetite)"))</f>
        <v/>
      </c>
      <c r="AZ62" s="82" t="n"/>
      <c r="BA62" s="82" t="n"/>
      <c r="BB62" s="89" t="n"/>
      <c r="BC62" s="90">
        <f>IF(OR(BB62="",T62=""),"",BB62+INDEX(Settings!$E$20:$E$23,MATCH(T62,Settings!$A$20:$A$23,0)))</f>
        <v/>
      </c>
      <c r="BD62" s="89" t="n"/>
      <c r="BE62" s="82" t="n"/>
      <c r="BF62" s="81">
        <f>IF(A62="","",IF(OR(BE62="Closed",BE62="Accepted"),"No action",IF(BB62="","Set date identified",IF(TODAY()&gt;BC62,"Deadline exceeded",IF(BC62-TODAY()&lt;=Settings!$C$30,"Deadline approaching","On track")))))</f>
        <v/>
      </c>
      <c r="BG62" s="89" t="n"/>
      <c r="BH62" s="89" t="n"/>
      <c r="BI62" s="90">
        <f>IF(OR(BH62="",AW62=""),"",EDATE(BH62,INDEX(Settings!$F$20:$F$23,MATCH(AW62,Settings!$A$20:$A$23,0))))</f>
        <v/>
      </c>
      <c r="BJ62" s="21">
        <f>IF(T62="","",IF(MAX(IF(T62="",0,MATCH(T62,Settings!$A$20:$A$23,0)),IF(AV62="",0,MATCH(AV62,Settings!$A$20:$A$23,0)))&gt;=MATCH(Settings!$C$29,Settings!$A$20:$A$23,0),"Yes","No"))</f>
        <v/>
      </c>
      <c r="BK62" s="82" t="n"/>
      <c r="BL62" s="81">
        <f>IF(A62="","",IF(TRIM(IF(W62="","Treatment not chosen. ","")&amp;IF(AND(W62="Accept",AX62="No"),"Accepted outside appetite: record approval by "&amp;INDEX(Settings!$G$20:$G$23,MATCH(AW62,Settings!$A$20:$A$23,0))&amp;". ","")&amp;IF(AND(W62="Accept",BG62=""),"Acceptance expiry missing. ","")&amp;IF(AND(BG62&lt;&gt;"",BG62&lt;TODAY()),"Acceptance expired. ","")&amp;IF(AND(W62&lt;&gt;"",W62&lt;&gt;"Accept",AV62=""),"Target rating not set. ","")&amp;IF(AND(BE62="Closed",AX62="No"),"Closed while outside appetite. ","")&amp;IF(AND(W62="Transfer",BE62&lt;&gt;"Transferred",BE62&lt;&gt;"Closed"),"Transfer: record the contract, SLA and audit rights. ","")&amp;IF(AZ62="","Risk owner missing. ","")&amp;IF(K62="","Scenario not written. ",""))="","OK",TRIM(IF(W62="","Treatment not chosen. ","")&amp;IF(AND(W62="Accept",AX62="No"),"Accepted outside appetite: record approval by "&amp;INDEX(Settings!$G$20:$G$23,MATCH(AW62,Settings!$A$20:$A$23,0))&amp;". ","")&amp;IF(AND(W62="Accept",BG62=""),"Acceptance expiry missing. ","")&amp;IF(AND(BG62&lt;&gt;"",BG62&lt;TODAY()),"Acceptance expired. ","")&amp;IF(AND(W62&lt;&gt;"",W62&lt;&gt;"Accept",AV62=""),"Target rating not set. ","")&amp;IF(AND(BE62="Closed",AX62="No"),"Closed while outside appetite. ","")&amp;IF(AND(W62="Transfer",BE62&lt;&gt;"Transferred",BE62&lt;&gt;"Closed"),"Transfer: record the contract, SLA and audit rights. ","")&amp;IF(AZ62="","Risk owner missing. ","")&amp;IF(K62="","Scenario not written. ",""))))</f>
        <v/>
      </c>
      <c r="BM62" s="82" t="n"/>
    </row>
    <row r="63">
      <c r="A63" s="84" t="n"/>
      <c r="B63" s="83" t="n"/>
      <c r="C63" s="80" t="n"/>
      <c r="D63" s="81">
        <f>IF(C63="","",IFERROR(INDEX(Lists!$O$2:$O$13,MATCH(C63,Lists!$N$2:$N$13,0)),"Check domain code"))</f>
        <v/>
      </c>
      <c r="E63" s="81">
        <f>IF(C63="","",IFERROR(INDEX(Lists!$P$2:$P$13,MATCH(C63,Lists!$N$2:$N$13,0)),""))</f>
        <v/>
      </c>
      <c r="F63" s="80" t="n"/>
      <c r="G63" s="82" t="n"/>
      <c r="H63" s="82" t="n"/>
      <c r="I63" s="82" t="n"/>
      <c r="J63" s="83" t="n"/>
      <c r="K63" s="82" t="n"/>
      <c r="L63" s="82" t="n"/>
      <c r="M63" s="84" t="n"/>
      <c r="N63" s="21" t="n"/>
      <c r="O63" s="82" t="n"/>
      <c r="P63" s="85" t="n"/>
      <c r="Q63" s="85" t="n"/>
      <c r="R63" s="85" t="n"/>
      <c r="S63" s="21">
        <f>IF(OR(Q63="",R63=""),"",Q63*R63)</f>
        <v/>
      </c>
      <c r="T63" s="21">
        <f>IF(S63="","",INDEX(Settings!$A$20:$A$23,MATCH(S63,Settings!$B$20:$B$23,1)))</f>
        <v/>
      </c>
      <c r="U63" s="82" t="n"/>
      <c r="V63" s="86" t="n"/>
      <c r="W63" s="85" t="n"/>
      <c r="X63" s="82" t="n"/>
      <c r="Y63" s="87" t="n"/>
      <c r="Z63" s="87" t="n"/>
      <c r="AA63" s="87" t="n"/>
      <c r="AB63" s="87" t="n"/>
      <c r="AC63" s="87" t="n"/>
      <c r="AD63" s="87" t="n"/>
      <c r="AE63" s="87" t="n"/>
      <c r="AF63" s="87" t="n"/>
      <c r="AG63" s="87" t="n"/>
      <c r="AH63" s="87" t="n"/>
      <c r="AI63" s="87" t="n"/>
      <c r="AJ63" s="88" t="n"/>
      <c r="AK63" s="87" t="n"/>
      <c r="AL63" s="87" t="n"/>
      <c r="AM63" s="87" t="n"/>
      <c r="AN63" s="87" t="n"/>
      <c r="AO63" s="87" t="n"/>
      <c r="AP63" s="87" t="n"/>
      <c r="AQ63" s="88" t="n"/>
      <c r="AR63" s="88" t="n"/>
      <c r="AS63" s="85" t="n"/>
      <c r="AT63" s="85" t="n"/>
      <c r="AU63" s="21">
        <f>IF(OR(AS63="",AT63=""),"",AS63*AT63)</f>
        <v/>
      </c>
      <c r="AV63" s="21">
        <f>IF(AU63="","",INDEX(Settings!$A$20:$A$23,MATCH(AU63,Settings!$B$20:$B$23,1)))</f>
        <v/>
      </c>
      <c r="AW63" s="21">
        <f>IF(AV63&lt;&gt;"",AV63,T63)</f>
        <v/>
      </c>
      <c r="AX63" s="21">
        <f>IF(AW63="","",IF(MATCH(AW63,Settings!$A$20:$A$23,0)&lt;=MATCH(Settings!$C$28,Settings!$A$20:$A$23,0),"Yes","No"))</f>
        <v/>
      </c>
      <c r="AY63" s="81">
        <f>IF(AW63="","",IF(AX63="Yes",INDEX(Settings!$G$20:$G$23,MATCH(AW63,Settings!$A$20:$A$23,0)),INDEX(Settings!$G$20:$G$23,MATCH(AW63,Settings!$A$20:$A$23,0))&amp;" (outside appetite)"))</f>
        <v/>
      </c>
      <c r="AZ63" s="82" t="n"/>
      <c r="BA63" s="82" t="n"/>
      <c r="BB63" s="89" t="n"/>
      <c r="BC63" s="90">
        <f>IF(OR(BB63="",T63=""),"",BB63+INDEX(Settings!$E$20:$E$23,MATCH(T63,Settings!$A$20:$A$23,0)))</f>
        <v/>
      </c>
      <c r="BD63" s="89" t="n"/>
      <c r="BE63" s="82" t="n"/>
      <c r="BF63" s="81">
        <f>IF(A63="","",IF(OR(BE63="Closed",BE63="Accepted"),"No action",IF(BB63="","Set date identified",IF(TODAY()&gt;BC63,"Deadline exceeded",IF(BC63-TODAY()&lt;=Settings!$C$30,"Deadline approaching","On track")))))</f>
        <v/>
      </c>
      <c r="BG63" s="89" t="n"/>
      <c r="BH63" s="89" t="n"/>
      <c r="BI63" s="90">
        <f>IF(OR(BH63="",AW63=""),"",EDATE(BH63,INDEX(Settings!$F$20:$F$23,MATCH(AW63,Settings!$A$20:$A$23,0))))</f>
        <v/>
      </c>
      <c r="BJ63" s="21">
        <f>IF(T63="","",IF(MAX(IF(T63="",0,MATCH(T63,Settings!$A$20:$A$23,0)),IF(AV63="",0,MATCH(AV63,Settings!$A$20:$A$23,0)))&gt;=MATCH(Settings!$C$29,Settings!$A$20:$A$23,0),"Yes","No"))</f>
        <v/>
      </c>
      <c r="BK63" s="82" t="n"/>
      <c r="BL63" s="81">
        <f>IF(A63="","",IF(TRIM(IF(W63="","Treatment not chosen. ","")&amp;IF(AND(W63="Accept",AX63="No"),"Accepted outside appetite: record approval by "&amp;INDEX(Settings!$G$20:$G$23,MATCH(AW63,Settings!$A$20:$A$23,0))&amp;". ","")&amp;IF(AND(W63="Accept",BG63=""),"Acceptance expiry missing. ","")&amp;IF(AND(BG63&lt;&gt;"",BG63&lt;TODAY()),"Acceptance expired. ","")&amp;IF(AND(W63&lt;&gt;"",W63&lt;&gt;"Accept",AV63=""),"Target rating not set. ","")&amp;IF(AND(BE63="Closed",AX63="No"),"Closed while outside appetite. ","")&amp;IF(AND(W63="Transfer",BE63&lt;&gt;"Transferred",BE63&lt;&gt;"Closed"),"Transfer: record the contract, SLA and audit rights. ","")&amp;IF(AZ63="","Risk owner missing. ","")&amp;IF(K63="","Scenario not written. ",""))="","OK",TRIM(IF(W63="","Treatment not chosen. ","")&amp;IF(AND(W63="Accept",AX63="No"),"Accepted outside appetite: record approval by "&amp;INDEX(Settings!$G$20:$G$23,MATCH(AW63,Settings!$A$20:$A$23,0))&amp;". ","")&amp;IF(AND(W63="Accept",BG63=""),"Acceptance expiry missing. ","")&amp;IF(AND(BG63&lt;&gt;"",BG63&lt;TODAY()),"Acceptance expired. ","")&amp;IF(AND(W63&lt;&gt;"",W63&lt;&gt;"Accept",AV63=""),"Target rating not set. ","")&amp;IF(AND(BE63="Closed",AX63="No"),"Closed while outside appetite. ","")&amp;IF(AND(W63="Transfer",BE63&lt;&gt;"Transferred",BE63&lt;&gt;"Closed"),"Transfer: record the contract, SLA and audit rights. ","")&amp;IF(AZ63="","Risk owner missing. ","")&amp;IF(K63="","Scenario not written. ",""))))</f>
        <v/>
      </c>
      <c r="BM63" s="82" t="n"/>
    </row>
    <row r="64">
      <c r="A64" s="94" t="n"/>
      <c r="B64" s="93" t="n"/>
      <c r="C64" s="80" t="n"/>
      <c r="D64" s="81">
        <f>IF(C64="","",IFERROR(INDEX(Lists!$O$2:$O$13,MATCH(C64,Lists!$N$2:$N$13,0)),"Check domain code"))</f>
        <v/>
      </c>
      <c r="E64" s="81">
        <f>IF(C64="","",IFERROR(INDEX(Lists!$P$2:$P$13,MATCH(C64,Lists!$N$2:$N$13,0)),""))</f>
        <v/>
      </c>
      <c r="F64" s="80" t="n"/>
      <c r="G64" s="82" t="n"/>
      <c r="H64" s="82" t="n"/>
      <c r="I64" s="82" t="n"/>
      <c r="J64" s="93" t="n"/>
      <c r="K64" s="82" t="n"/>
      <c r="L64" s="82" t="n"/>
      <c r="M64" s="94" t="n"/>
      <c r="N64" s="21" t="n"/>
      <c r="O64" s="82" t="n"/>
      <c r="P64" s="85" t="n"/>
      <c r="Q64" s="85" t="n"/>
      <c r="R64" s="85" t="n"/>
      <c r="S64" s="21">
        <f>IF(OR(Q64="",R64=""),"",Q64*R64)</f>
        <v/>
      </c>
      <c r="T64" s="21">
        <f>IF(S64="","",INDEX(Settings!$A$20:$A$23,MATCH(S64,Settings!$B$20:$B$23,1)))</f>
        <v/>
      </c>
      <c r="U64" s="82" t="n"/>
      <c r="V64" s="86" t="n"/>
      <c r="W64" s="85" t="n"/>
      <c r="X64" s="82" t="n"/>
      <c r="Y64" s="95" t="n"/>
      <c r="Z64" s="95" t="n"/>
      <c r="AA64" s="95" t="n"/>
      <c r="AB64" s="95" t="n"/>
      <c r="AC64" s="95" t="n"/>
      <c r="AD64" s="95" t="n"/>
      <c r="AE64" s="95" t="n"/>
      <c r="AF64" s="95" t="n"/>
      <c r="AG64" s="95" t="n"/>
      <c r="AH64" s="95" t="n"/>
      <c r="AI64" s="95" t="n"/>
      <c r="AJ64" s="96" t="n"/>
      <c r="AK64" s="95" t="n"/>
      <c r="AL64" s="95" t="n"/>
      <c r="AM64" s="95" t="n"/>
      <c r="AN64" s="95" t="n"/>
      <c r="AO64" s="95" t="n"/>
      <c r="AP64" s="95" t="n"/>
      <c r="AQ64" s="96" t="n"/>
      <c r="AR64" s="96" t="n"/>
      <c r="AS64" s="85" t="n"/>
      <c r="AT64" s="85" t="n"/>
      <c r="AU64" s="21">
        <f>IF(OR(AS64="",AT64=""),"",AS64*AT64)</f>
        <v/>
      </c>
      <c r="AV64" s="21">
        <f>IF(AU64="","",INDEX(Settings!$A$20:$A$23,MATCH(AU64,Settings!$B$20:$B$23,1)))</f>
        <v/>
      </c>
      <c r="AW64" s="21">
        <f>IF(AV64&lt;&gt;"",AV64,T64)</f>
        <v/>
      </c>
      <c r="AX64" s="21">
        <f>IF(AW64="","",IF(MATCH(AW64,Settings!$A$20:$A$23,0)&lt;=MATCH(Settings!$C$28,Settings!$A$20:$A$23,0),"Yes","No"))</f>
        <v/>
      </c>
      <c r="AY64" s="81">
        <f>IF(AW64="","",IF(AX64="Yes",INDEX(Settings!$G$20:$G$23,MATCH(AW64,Settings!$A$20:$A$23,0)),INDEX(Settings!$G$20:$G$23,MATCH(AW64,Settings!$A$20:$A$23,0))&amp;" (outside appetite)"))</f>
        <v/>
      </c>
      <c r="AZ64" s="82" t="n"/>
      <c r="BA64" s="82" t="n"/>
      <c r="BB64" s="89" t="n"/>
      <c r="BC64" s="90">
        <f>IF(OR(BB64="",T64=""),"",BB64+INDEX(Settings!$E$20:$E$23,MATCH(T64,Settings!$A$20:$A$23,0)))</f>
        <v/>
      </c>
      <c r="BD64" s="89" t="n"/>
      <c r="BE64" s="82" t="n"/>
      <c r="BF64" s="81">
        <f>IF(A64="","",IF(OR(BE64="Closed",BE64="Accepted"),"No action",IF(BB64="","Set date identified",IF(TODAY()&gt;BC64,"Deadline exceeded",IF(BC64-TODAY()&lt;=Settings!$C$30,"Deadline approaching","On track")))))</f>
        <v/>
      </c>
      <c r="BG64" s="89" t="n"/>
      <c r="BH64" s="89" t="n"/>
      <c r="BI64" s="90">
        <f>IF(OR(BH64="",AW64=""),"",EDATE(BH64,INDEX(Settings!$F$20:$F$23,MATCH(AW64,Settings!$A$20:$A$23,0))))</f>
        <v/>
      </c>
      <c r="BJ64" s="21">
        <f>IF(T64="","",IF(MAX(IF(T64="",0,MATCH(T64,Settings!$A$20:$A$23,0)),IF(AV64="",0,MATCH(AV64,Settings!$A$20:$A$23,0)))&gt;=MATCH(Settings!$C$29,Settings!$A$20:$A$23,0),"Yes","No"))</f>
        <v/>
      </c>
      <c r="BK64" s="82" t="n"/>
      <c r="BL64" s="81">
        <f>IF(A64="","",IF(TRIM(IF(W64="","Treatment not chosen. ","")&amp;IF(AND(W64="Accept",AX64="No"),"Accepted outside appetite: record approval by "&amp;INDEX(Settings!$G$20:$G$23,MATCH(AW64,Settings!$A$20:$A$23,0))&amp;". ","")&amp;IF(AND(W64="Accept",BG64=""),"Acceptance expiry missing. ","")&amp;IF(AND(BG64&lt;&gt;"",BG64&lt;TODAY()),"Acceptance expired. ","")&amp;IF(AND(W64&lt;&gt;"",W64&lt;&gt;"Accept",AV64=""),"Target rating not set. ","")&amp;IF(AND(BE64="Closed",AX64="No"),"Closed while outside appetite. ","")&amp;IF(AND(W64="Transfer",BE64&lt;&gt;"Transferred",BE64&lt;&gt;"Closed"),"Transfer: record the contract, SLA and audit rights. ","")&amp;IF(AZ64="","Risk owner missing. ","")&amp;IF(K64="","Scenario not written. ",""))="","OK",TRIM(IF(W64="","Treatment not chosen. ","")&amp;IF(AND(W64="Accept",AX64="No"),"Accepted outside appetite: record approval by "&amp;INDEX(Settings!$G$20:$G$23,MATCH(AW64,Settings!$A$20:$A$23,0))&amp;". ","")&amp;IF(AND(W64="Accept",BG64=""),"Acceptance expiry missing. ","")&amp;IF(AND(BG64&lt;&gt;"",BG64&lt;TODAY()),"Acceptance expired. ","")&amp;IF(AND(W64&lt;&gt;"",W64&lt;&gt;"Accept",AV64=""),"Target rating not set. ","")&amp;IF(AND(BE64="Closed",AX64="No"),"Closed while outside appetite. ","")&amp;IF(AND(W64="Transfer",BE64&lt;&gt;"Transferred",BE64&lt;&gt;"Closed"),"Transfer: record the contract, SLA and audit rights. ","")&amp;IF(AZ64="","Risk owner missing. ","")&amp;IF(K64="","Scenario not written. ",""))))</f>
        <v/>
      </c>
      <c r="BM64" s="82" t="n"/>
    </row>
    <row r="65">
      <c r="A65" s="84" t="n"/>
      <c r="B65" s="83" t="n"/>
      <c r="C65" s="80" t="n"/>
      <c r="D65" s="81">
        <f>IF(C65="","",IFERROR(INDEX(Lists!$O$2:$O$13,MATCH(C65,Lists!$N$2:$N$13,0)),"Check domain code"))</f>
        <v/>
      </c>
      <c r="E65" s="81">
        <f>IF(C65="","",IFERROR(INDEX(Lists!$P$2:$P$13,MATCH(C65,Lists!$N$2:$N$13,0)),""))</f>
        <v/>
      </c>
      <c r="F65" s="80" t="n"/>
      <c r="G65" s="82" t="n"/>
      <c r="H65" s="82" t="n"/>
      <c r="I65" s="82" t="n"/>
      <c r="J65" s="83" t="n"/>
      <c r="K65" s="82" t="n"/>
      <c r="L65" s="82" t="n"/>
      <c r="M65" s="84" t="n"/>
      <c r="N65" s="21" t="n"/>
      <c r="O65" s="82" t="n"/>
      <c r="P65" s="85" t="n"/>
      <c r="Q65" s="85" t="n"/>
      <c r="R65" s="85" t="n"/>
      <c r="S65" s="21">
        <f>IF(OR(Q65="",R65=""),"",Q65*R65)</f>
        <v/>
      </c>
      <c r="T65" s="21">
        <f>IF(S65="","",INDEX(Settings!$A$20:$A$23,MATCH(S65,Settings!$B$20:$B$23,1)))</f>
        <v/>
      </c>
      <c r="U65" s="82" t="n"/>
      <c r="V65" s="86" t="n"/>
      <c r="W65" s="85" t="n"/>
      <c r="X65" s="82" t="n"/>
      <c r="Y65" s="87" t="n"/>
      <c r="Z65" s="87" t="n"/>
      <c r="AA65" s="87" t="n"/>
      <c r="AB65" s="87" t="n"/>
      <c r="AC65" s="87" t="n"/>
      <c r="AD65" s="87" t="n"/>
      <c r="AE65" s="87" t="n"/>
      <c r="AF65" s="87" t="n"/>
      <c r="AG65" s="87" t="n"/>
      <c r="AH65" s="87" t="n"/>
      <c r="AI65" s="87" t="n"/>
      <c r="AJ65" s="88" t="n"/>
      <c r="AK65" s="87" t="n"/>
      <c r="AL65" s="87" t="n"/>
      <c r="AM65" s="87" t="n"/>
      <c r="AN65" s="87" t="n"/>
      <c r="AO65" s="87" t="n"/>
      <c r="AP65" s="87" t="n"/>
      <c r="AQ65" s="88" t="n"/>
      <c r="AR65" s="88" t="n"/>
      <c r="AS65" s="85" t="n"/>
      <c r="AT65" s="85" t="n"/>
      <c r="AU65" s="21">
        <f>IF(OR(AS65="",AT65=""),"",AS65*AT65)</f>
        <v/>
      </c>
      <c r="AV65" s="21">
        <f>IF(AU65="","",INDEX(Settings!$A$20:$A$23,MATCH(AU65,Settings!$B$20:$B$23,1)))</f>
        <v/>
      </c>
      <c r="AW65" s="21">
        <f>IF(AV65&lt;&gt;"",AV65,T65)</f>
        <v/>
      </c>
      <c r="AX65" s="21">
        <f>IF(AW65="","",IF(MATCH(AW65,Settings!$A$20:$A$23,0)&lt;=MATCH(Settings!$C$28,Settings!$A$20:$A$23,0),"Yes","No"))</f>
        <v/>
      </c>
      <c r="AY65" s="81">
        <f>IF(AW65="","",IF(AX65="Yes",INDEX(Settings!$G$20:$G$23,MATCH(AW65,Settings!$A$20:$A$23,0)),INDEX(Settings!$G$20:$G$23,MATCH(AW65,Settings!$A$20:$A$23,0))&amp;" (outside appetite)"))</f>
        <v/>
      </c>
      <c r="AZ65" s="82" t="n"/>
      <c r="BA65" s="82" t="n"/>
      <c r="BB65" s="89" t="n"/>
      <c r="BC65" s="90">
        <f>IF(OR(BB65="",T65=""),"",BB65+INDEX(Settings!$E$20:$E$23,MATCH(T65,Settings!$A$20:$A$23,0)))</f>
        <v/>
      </c>
      <c r="BD65" s="89" t="n"/>
      <c r="BE65" s="82" t="n"/>
      <c r="BF65" s="81">
        <f>IF(A65="","",IF(OR(BE65="Closed",BE65="Accepted"),"No action",IF(BB65="","Set date identified",IF(TODAY()&gt;BC65,"Deadline exceeded",IF(BC65-TODAY()&lt;=Settings!$C$30,"Deadline approaching","On track")))))</f>
        <v/>
      </c>
      <c r="BG65" s="89" t="n"/>
      <c r="BH65" s="89" t="n"/>
      <c r="BI65" s="90">
        <f>IF(OR(BH65="",AW65=""),"",EDATE(BH65,INDEX(Settings!$F$20:$F$23,MATCH(AW65,Settings!$A$20:$A$23,0))))</f>
        <v/>
      </c>
      <c r="BJ65" s="21">
        <f>IF(T65="","",IF(MAX(IF(T65="",0,MATCH(T65,Settings!$A$20:$A$23,0)),IF(AV65="",0,MATCH(AV65,Settings!$A$20:$A$23,0)))&gt;=MATCH(Settings!$C$29,Settings!$A$20:$A$23,0),"Yes","No"))</f>
        <v/>
      </c>
      <c r="BK65" s="82" t="n"/>
      <c r="BL65" s="81">
        <f>IF(A65="","",IF(TRIM(IF(W65="","Treatment not chosen. ","")&amp;IF(AND(W65="Accept",AX65="No"),"Accepted outside appetite: record approval by "&amp;INDEX(Settings!$G$20:$G$23,MATCH(AW65,Settings!$A$20:$A$23,0))&amp;". ","")&amp;IF(AND(W65="Accept",BG65=""),"Acceptance expiry missing. ","")&amp;IF(AND(BG65&lt;&gt;"",BG65&lt;TODAY()),"Acceptance expired. ","")&amp;IF(AND(W65&lt;&gt;"",W65&lt;&gt;"Accept",AV65=""),"Target rating not set. ","")&amp;IF(AND(BE65="Closed",AX65="No"),"Closed while outside appetite. ","")&amp;IF(AND(W65="Transfer",BE65&lt;&gt;"Transferred",BE65&lt;&gt;"Closed"),"Transfer: record the contract, SLA and audit rights. ","")&amp;IF(AZ65="","Risk owner missing. ","")&amp;IF(K65="","Scenario not written. ",""))="","OK",TRIM(IF(W65="","Treatment not chosen. ","")&amp;IF(AND(W65="Accept",AX65="No"),"Accepted outside appetite: record approval by "&amp;INDEX(Settings!$G$20:$G$23,MATCH(AW65,Settings!$A$20:$A$23,0))&amp;". ","")&amp;IF(AND(W65="Accept",BG65=""),"Acceptance expiry missing. ","")&amp;IF(AND(BG65&lt;&gt;"",BG65&lt;TODAY()),"Acceptance expired. ","")&amp;IF(AND(W65&lt;&gt;"",W65&lt;&gt;"Accept",AV65=""),"Target rating not set. ","")&amp;IF(AND(BE65="Closed",AX65="No"),"Closed while outside appetite. ","")&amp;IF(AND(W65="Transfer",BE65&lt;&gt;"Transferred",BE65&lt;&gt;"Closed"),"Transfer: record the contract, SLA and audit rights. ","")&amp;IF(AZ65="","Risk owner missing. ","")&amp;IF(K65="","Scenario not written. ",""))))</f>
        <v/>
      </c>
      <c r="BM65" s="82" t="n"/>
    </row>
    <row r="66">
      <c r="A66" s="94" t="n"/>
      <c r="B66" s="93" t="n"/>
      <c r="C66" s="80" t="n"/>
      <c r="D66" s="81">
        <f>IF(C66="","",IFERROR(INDEX(Lists!$O$2:$O$13,MATCH(C66,Lists!$N$2:$N$13,0)),"Check domain code"))</f>
        <v/>
      </c>
      <c r="E66" s="81">
        <f>IF(C66="","",IFERROR(INDEX(Lists!$P$2:$P$13,MATCH(C66,Lists!$N$2:$N$13,0)),""))</f>
        <v/>
      </c>
      <c r="F66" s="80" t="n"/>
      <c r="G66" s="82" t="n"/>
      <c r="H66" s="82" t="n"/>
      <c r="I66" s="82" t="n"/>
      <c r="J66" s="93" t="n"/>
      <c r="K66" s="82" t="n"/>
      <c r="L66" s="82" t="n"/>
      <c r="M66" s="94" t="n"/>
      <c r="N66" s="21" t="n"/>
      <c r="O66" s="82" t="n"/>
      <c r="P66" s="85" t="n"/>
      <c r="Q66" s="85" t="n"/>
      <c r="R66" s="85" t="n"/>
      <c r="S66" s="21">
        <f>IF(OR(Q66="",R66=""),"",Q66*R66)</f>
        <v/>
      </c>
      <c r="T66" s="21">
        <f>IF(S66="","",INDEX(Settings!$A$20:$A$23,MATCH(S66,Settings!$B$20:$B$23,1)))</f>
        <v/>
      </c>
      <c r="U66" s="82" t="n"/>
      <c r="V66" s="86" t="n"/>
      <c r="W66" s="85" t="n"/>
      <c r="X66" s="82" t="n"/>
      <c r="Y66" s="95" t="n"/>
      <c r="Z66" s="95" t="n"/>
      <c r="AA66" s="95" t="n"/>
      <c r="AB66" s="95" t="n"/>
      <c r="AC66" s="95" t="n"/>
      <c r="AD66" s="95" t="n"/>
      <c r="AE66" s="95" t="n"/>
      <c r="AF66" s="95" t="n"/>
      <c r="AG66" s="95" t="n"/>
      <c r="AH66" s="95" t="n"/>
      <c r="AI66" s="95" t="n"/>
      <c r="AJ66" s="96" t="n"/>
      <c r="AK66" s="95" t="n"/>
      <c r="AL66" s="95" t="n"/>
      <c r="AM66" s="95" t="n"/>
      <c r="AN66" s="95" t="n"/>
      <c r="AO66" s="95" t="n"/>
      <c r="AP66" s="95" t="n"/>
      <c r="AQ66" s="96" t="n"/>
      <c r="AR66" s="96" t="n"/>
      <c r="AS66" s="85" t="n"/>
      <c r="AT66" s="85" t="n"/>
      <c r="AU66" s="21">
        <f>IF(OR(AS66="",AT66=""),"",AS66*AT66)</f>
        <v/>
      </c>
      <c r="AV66" s="21">
        <f>IF(AU66="","",INDEX(Settings!$A$20:$A$23,MATCH(AU66,Settings!$B$20:$B$23,1)))</f>
        <v/>
      </c>
      <c r="AW66" s="21">
        <f>IF(AV66&lt;&gt;"",AV66,T66)</f>
        <v/>
      </c>
      <c r="AX66" s="21">
        <f>IF(AW66="","",IF(MATCH(AW66,Settings!$A$20:$A$23,0)&lt;=MATCH(Settings!$C$28,Settings!$A$20:$A$23,0),"Yes","No"))</f>
        <v/>
      </c>
      <c r="AY66" s="81">
        <f>IF(AW66="","",IF(AX66="Yes",INDEX(Settings!$G$20:$G$23,MATCH(AW66,Settings!$A$20:$A$23,0)),INDEX(Settings!$G$20:$G$23,MATCH(AW66,Settings!$A$20:$A$23,0))&amp;" (outside appetite)"))</f>
        <v/>
      </c>
      <c r="AZ66" s="82" t="n"/>
      <c r="BA66" s="82" t="n"/>
      <c r="BB66" s="89" t="n"/>
      <c r="BC66" s="90">
        <f>IF(OR(BB66="",T66=""),"",BB66+INDEX(Settings!$E$20:$E$23,MATCH(T66,Settings!$A$20:$A$23,0)))</f>
        <v/>
      </c>
      <c r="BD66" s="89" t="n"/>
      <c r="BE66" s="82" t="n"/>
      <c r="BF66" s="81">
        <f>IF(A66="","",IF(OR(BE66="Closed",BE66="Accepted"),"No action",IF(BB66="","Set date identified",IF(TODAY()&gt;BC66,"Deadline exceeded",IF(BC66-TODAY()&lt;=Settings!$C$30,"Deadline approaching","On track")))))</f>
        <v/>
      </c>
      <c r="BG66" s="89" t="n"/>
      <c r="BH66" s="89" t="n"/>
      <c r="BI66" s="90">
        <f>IF(OR(BH66="",AW66=""),"",EDATE(BH66,INDEX(Settings!$F$20:$F$23,MATCH(AW66,Settings!$A$20:$A$23,0))))</f>
        <v/>
      </c>
      <c r="BJ66" s="21">
        <f>IF(T66="","",IF(MAX(IF(T66="",0,MATCH(T66,Settings!$A$20:$A$23,0)),IF(AV66="",0,MATCH(AV66,Settings!$A$20:$A$23,0)))&gt;=MATCH(Settings!$C$29,Settings!$A$20:$A$23,0),"Yes","No"))</f>
        <v/>
      </c>
      <c r="BK66" s="82" t="n"/>
      <c r="BL66" s="81">
        <f>IF(A66="","",IF(TRIM(IF(W66="","Treatment not chosen. ","")&amp;IF(AND(W66="Accept",AX66="No"),"Accepted outside appetite: record approval by "&amp;INDEX(Settings!$G$20:$G$23,MATCH(AW66,Settings!$A$20:$A$23,0))&amp;". ","")&amp;IF(AND(W66="Accept",BG66=""),"Acceptance expiry missing. ","")&amp;IF(AND(BG66&lt;&gt;"",BG66&lt;TODAY()),"Acceptance expired. ","")&amp;IF(AND(W66&lt;&gt;"",W66&lt;&gt;"Accept",AV66=""),"Target rating not set. ","")&amp;IF(AND(BE66="Closed",AX66="No"),"Closed while outside appetite. ","")&amp;IF(AND(W66="Transfer",BE66&lt;&gt;"Transferred",BE66&lt;&gt;"Closed"),"Transfer: record the contract, SLA and audit rights. ","")&amp;IF(AZ66="","Risk owner missing. ","")&amp;IF(K66="","Scenario not written. ",""))="","OK",TRIM(IF(W66="","Treatment not chosen. ","")&amp;IF(AND(W66="Accept",AX66="No"),"Accepted outside appetite: record approval by "&amp;INDEX(Settings!$G$20:$G$23,MATCH(AW66,Settings!$A$20:$A$23,0))&amp;". ","")&amp;IF(AND(W66="Accept",BG66=""),"Acceptance expiry missing. ","")&amp;IF(AND(BG66&lt;&gt;"",BG66&lt;TODAY()),"Acceptance expired. ","")&amp;IF(AND(W66&lt;&gt;"",W66&lt;&gt;"Accept",AV66=""),"Target rating not set. ","")&amp;IF(AND(BE66="Closed",AX66="No"),"Closed while outside appetite. ","")&amp;IF(AND(W66="Transfer",BE66&lt;&gt;"Transferred",BE66&lt;&gt;"Closed"),"Transfer: record the contract, SLA and audit rights. ","")&amp;IF(AZ66="","Risk owner missing. ","")&amp;IF(K66="","Scenario not written. ",""))))</f>
        <v/>
      </c>
      <c r="BM66" s="82" t="n"/>
    </row>
    <row r="67">
      <c r="A67" s="84" t="n"/>
      <c r="B67" s="83" t="n"/>
      <c r="C67" s="80" t="n"/>
      <c r="D67" s="81">
        <f>IF(C67="","",IFERROR(INDEX(Lists!$O$2:$O$13,MATCH(C67,Lists!$N$2:$N$13,0)),"Check domain code"))</f>
        <v/>
      </c>
      <c r="E67" s="81">
        <f>IF(C67="","",IFERROR(INDEX(Lists!$P$2:$P$13,MATCH(C67,Lists!$N$2:$N$13,0)),""))</f>
        <v/>
      </c>
      <c r="F67" s="80" t="n"/>
      <c r="G67" s="82" t="n"/>
      <c r="H67" s="82" t="n"/>
      <c r="I67" s="82" t="n"/>
      <c r="J67" s="83" t="n"/>
      <c r="K67" s="82" t="n"/>
      <c r="L67" s="82" t="n"/>
      <c r="M67" s="84" t="n"/>
      <c r="N67" s="21" t="n"/>
      <c r="O67" s="82" t="n"/>
      <c r="P67" s="85" t="n"/>
      <c r="Q67" s="85" t="n"/>
      <c r="R67" s="85" t="n"/>
      <c r="S67" s="21">
        <f>IF(OR(Q67="",R67=""),"",Q67*R67)</f>
        <v/>
      </c>
      <c r="T67" s="21">
        <f>IF(S67="","",INDEX(Settings!$A$20:$A$23,MATCH(S67,Settings!$B$20:$B$23,1)))</f>
        <v/>
      </c>
      <c r="U67" s="82" t="n"/>
      <c r="V67" s="86" t="n"/>
      <c r="W67" s="85" t="n"/>
      <c r="X67" s="82" t="n"/>
      <c r="Y67" s="87" t="n"/>
      <c r="Z67" s="87" t="n"/>
      <c r="AA67" s="87" t="n"/>
      <c r="AB67" s="87" t="n"/>
      <c r="AC67" s="87" t="n"/>
      <c r="AD67" s="87" t="n"/>
      <c r="AE67" s="87" t="n"/>
      <c r="AF67" s="87" t="n"/>
      <c r="AG67" s="87" t="n"/>
      <c r="AH67" s="87" t="n"/>
      <c r="AI67" s="87" t="n"/>
      <c r="AJ67" s="88" t="n"/>
      <c r="AK67" s="87" t="n"/>
      <c r="AL67" s="87" t="n"/>
      <c r="AM67" s="87" t="n"/>
      <c r="AN67" s="87" t="n"/>
      <c r="AO67" s="87" t="n"/>
      <c r="AP67" s="87" t="n"/>
      <c r="AQ67" s="88" t="n"/>
      <c r="AR67" s="88" t="n"/>
      <c r="AS67" s="85" t="n"/>
      <c r="AT67" s="85" t="n"/>
      <c r="AU67" s="21">
        <f>IF(OR(AS67="",AT67=""),"",AS67*AT67)</f>
        <v/>
      </c>
      <c r="AV67" s="21">
        <f>IF(AU67="","",INDEX(Settings!$A$20:$A$23,MATCH(AU67,Settings!$B$20:$B$23,1)))</f>
        <v/>
      </c>
      <c r="AW67" s="21">
        <f>IF(AV67&lt;&gt;"",AV67,T67)</f>
        <v/>
      </c>
      <c r="AX67" s="21">
        <f>IF(AW67="","",IF(MATCH(AW67,Settings!$A$20:$A$23,0)&lt;=MATCH(Settings!$C$28,Settings!$A$20:$A$23,0),"Yes","No"))</f>
        <v/>
      </c>
      <c r="AY67" s="81">
        <f>IF(AW67="","",IF(AX67="Yes",INDEX(Settings!$G$20:$G$23,MATCH(AW67,Settings!$A$20:$A$23,0)),INDEX(Settings!$G$20:$G$23,MATCH(AW67,Settings!$A$20:$A$23,0))&amp;" (outside appetite)"))</f>
        <v/>
      </c>
      <c r="AZ67" s="82" t="n"/>
      <c r="BA67" s="82" t="n"/>
      <c r="BB67" s="89" t="n"/>
      <c r="BC67" s="90">
        <f>IF(OR(BB67="",T67=""),"",BB67+INDEX(Settings!$E$20:$E$23,MATCH(T67,Settings!$A$20:$A$23,0)))</f>
        <v/>
      </c>
      <c r="BD67" s="89" t="n"/>
      <c r="BE67" s="82" t="n"/>
      <c r="BF67" s="81">
        <f>IF(A67="","",IF(OR(BE67="Closed",BE67="Accepted"),"No action",IF(BB67="","Set date identified",IF(TODAY()&gt;BC67,"Deadline exceeded",IF(BC67-TODAY()&lt;=Settings!$C$30,"Deadline approaching","On track")))))</f>
        <v/>
      </c>
      <c r="BG67" s="89" t="n"/>
      <c r="BH67" s="89" t="n"/>
      <c r="BI67" s="90">
        <f>IF(OR(BH67="",AW67=""),"",EDATE(BH67,INDEX(Settings!$F$20:$F$23,MATCH(AW67,Settings!$A$20:$A$23,0))))</f>
        <v/>
      </c>
      <c r="BJ67" s="21">
        <f>IF(T67="","",IF(MAX(IF(T67="",0,MATCH(T67,Settings!$A$20:$A$23,0)),IF(AV67="",0,MATCH(AV67,Settings!$A$20:$A$23,0)))&gt;=MATCH(Settings!$C$29,Settings!$A$20:$A$23,0),"Yes","No"))</f>
        <v/>
      </c>
      <c r="BK67" s="82" t="n"/>
      <c r="BL67" s="81">
        <f>IF(A67="","",IF(TRIM(IF(W67="","Treatment not chosen. ","")&amp;IF(AND(W67="Accept",AX67="No"),"Accepted outside appetite: record approval by "&amp;INDEX(Settings!$G$20:$G$23,MATCH(AW67,Settings!$A$20:$A$23,0))&amp;". ","")&amp;IF(AND(W67="Accept",BG67=""),"Acceptance expiry missing. ","")&amp;IF(AND(BG67&lt;&gt;"",BG67&lt;TODAY()),"Acceptance expired. ","")&amp;IF(AND(W67&lt;&gt;"",W67&lt;&gt;"Accept",AV67=""),"Target rating not set. ","")&amp;IF(AND(BE67="Closed",AX67="No"),"Closed while outside appetite. ","")&amp;IF(AND(W67="Transfer",BE67&lt;&gt;"Transferred",BE67&lt;&gt;"Closed"),"Transfer: record the contract, SLA and audit rights. ","")&amp;IF(AZ67="","Risk owner missing. ","")&amp;IF(K67="","Scenario not written. ",""))="","OK",TRIM(IF(W67="","Treatment not chosen. ","")&amp;IF(AND(W67="Accept",AX67="No"),"Accepted outside appetite: record approval by "&amp;INDEX(Settings!$G$20:$G$23,MATCH(AW67,Settings!$A$20:$A$23,0))&amp;". ","")&amp;IF(AND(W67="Accept",BG67=""),"Acceptance expiry missing. ","")&amp;IF(AND(BG67&lt;&gt;"",BG67&lt;TODAY()),"Acceptance expired. ","")&amp;IF(AND(W67&lt;&gt;"",W67&lt;&gt;"Accept",AV67=""),"Target rating not set. ","")&amp;IF(AND(BE67="Closed",AX67="No"),"Closed while outside appetite. ","")&amp;IF(AND(W67="Transfer",BE67&lt;&gt;"Transferred",BE67&lt;&gt;"Closed"),"Transfer: record the contract, SLA and audit rights. ","")&amp;IF(AZ67="","Risk owner missing. ","")&amp;IF(K67="","Scenario not written. ",""))))</f>
        <v/>
      </c>
      <c r="BM67" s="82" t="n"/>
    </row>
    <row r="68">
      <c r="A68" s="94" t="n"/>
      <c r="B68" s="93" t="n"/>
      <c r="C68" s="80" t="n"/>
      <c r="D68" s="81">
        <f>IF(C68="","",IFERROR(INDEX(Lists!$O$2:$O$13,MATCH(C68,Lists!$N$2:$N$13,0)),"Check domain code"))</f>
        <v/>
      </c>
      <c r="E68" s="81">
        <f>IF(C68="","",IFERROR(INDEX(Lists!$P$2:$P$13,MATCH(C68,Lists!$N$2:$N$13,0)),""))</f>
        <v/>
      </c>
      <c r="F68" s="80" t="n"/>
      <c r="G68" s="82" t="n"/>
      <c r="H68" s="82" t="n"/>
      <c r="I68" s="82" t="n"/>
      <c r="J68" s="93" t="n"/>
      <c r="K68" s="82" t="n"/>
      <c r="L68" s="82" t="n"/>
      <c r="M68" s="94" t="n"/>
      <c r="N68" s="21" t="n"/>
      <c r="O68" s="82" t="n"/>
      <c r="P68" s="85" t="n"/>
      <c r="Q68" s="85" t="n"/>
      <c r="R68" s="85" t="n"/>
      <c r="S68" s="21">
        <f>IF(OR(Q68="",R68=""),"",Q68*R68)</f>
        <v/>
      </c>
      <c r="T68" s="21">
        <f>IF(S68="","",INDEX(Settings!$A$20:$A$23,MATCH(S68,Settings!$B$20:$B$23,1)))</f>
        <v/>
      </c>
      <c r="U68" s="82" t="n"/>
      <c r="V68" s="86" t="n"/>
      <c r="W68" s="85" t="n"/>
      <c r="X68" s="82" t="n"/>
      <c r="Y68" s="95" t="n"/>
      <c r="Z68" s="95" t="n"/>
      <c r="AA68" s="95" t="n"/>
      <c r="AB68" s="95" t="n"/>
      <c r="AC68" s="95" t="n"/>
      <c r="AD68" s="95" t="n"/>
      <c r="AE68" s="95" t="n"/>
      <c r="AF68" s="95" t="n"/>
      <c r="AG68" s="95" t="n"/>
      <c r="AH68" s="95" t="n"/>
      <c r="AI68" s="95" t="n"/>
      <c r="AJ68" s="96" t="n"/>
      <c r="AK68" s="95" t="n"/>
      <c r="AL68" s="95" t="n"/>
      <c r="AM68" s="95" t="n"/>
      <c r="AN68" s="95" t="n"/>
      <c r="AO68" s="95" t="n"/>
      <c r="AP68" s="95" t="n"/>
      <c r="AQ68" s="96" t="n"/>
      <c r="AR68" s="96" t="n"/>
      <c r="AS68" s="85" t="n"/>
      <c r="AT68" s="85" t="n"/>
      <c r="AU68" s="21">
        <f>IF(OR(AS68="",AT68=""),"",AS68*AT68)</f>
        <v/>
      </c>
      <c r="AV68" s="21">
        <f>IF(AU68="","",INDEX(Settings!$A$20:$A$23,MATCH(AU68,Settings!$B$20:$B$23,1)))</f>
        <v/>
      </c>
      <c r="AW68" s="21">
        <f>IF(AV68&lt;&gt;"",AV68,T68)</f>
        <v/>
      </c>
      <c r="AX68" s="21">
        <f>IF(AW68="","",IF(MATCH(AW68,Settings!$A$20:$A$23,0)&lt;=MATCH(Settings!$C$28,Settings!$A$20:$A$23,0),"Yes","No"))</f>
        <v/>
      </c>
      <c r="AY68" s="81">
        <f>IF(AW68="","",IF(AX68="Yes",INDEX(Settings!$G$20:$G$23,MATCH(AW68,Settings!$A$20:$A$23,0)),INDEX(Settings!$G$20:$G$23,MATCH(AW68,Settings!$A$20:$A$23,0))&amp;" (outside appetite)"))</f>
        <v/>
      </c>
      <c r="AZ68" s="82" t="n"/>
      <c r="BA68" s="82" t="n"/>
      <c r="BB68" s="89" t="n"/>
      <c r="BC68" s="90">
        <f>IF(OR(BB68="",T68=""),"",BB68+INDEX(Settings!$E$20:$E$23,MATCH(T68,Settings!$A$20:$A$23,0)))</f>
        <v/>
      </c>
      <c r="BD68" s="89" t="n"/>
      <c r="BE68" s="82" t="n"/>
      <c r="BF68" s="81">
        <f>IF(A68="","",IF(OR(BE68="Closed",BE68="Accepted"),"No action",IF(BB68="","Set date identified",IF(TODAY()&gt;BC68,"Deadline exceeded",IF(BC68-TODAY()&lt;=Settings!$C$30,"Deadline approaching","On track")))))</f>
        <v/>
      </c>
      <c r="BG68" s="89" t="n"/>
      <c r="BH68" s="89" t="n"/>
      <c r="BI68" s="90">
        <f>IF(OR(BH68="",AW68=""),"",EDATE(BH68,INDEX(Settings!$F$20:$F$23,MATCH(AW68,Settings!$A$20:$A$23,0))))</f>
        <v/>
      </c>
      <c r="BJ68" s="21">
        <f>IF(T68="","",IF(MAX(IF(T68="",0,MATCH(T68,Settings!$A$20:$A$23,0)),IF(AV68="",0,MATCH(AV68,Settings!$A$20:$A$23,0)))&gt;=MATCH(Settings!$C$29,Settings!$A$20:$A$23,0),"Yes","No"))</f>
        <v/>
      </c>
      <c r="BK68" s="82" t="n"/>
      <c r="BL68" s="81">
        <f>IF(A68="","",IF(TRIM(IF(W68="","Treatment not chosen. ","")&amp;IF(AND(W68="Accept",AX68="No"),"Accepted outside appetite: record approval by "&amp;INDEX(Settings!$G$20:$G$23,MATCH(AW68,Settings!$A$20:$A$23,0))&amp;". ","")&amp;IF(AND(W68="Accept",BG68=""),"Acceptance expiry missing. ","")&amp;IF(AND(BG68&lt;&gt;"",BG68&lt;TODAY()),"Acceptance expired. ","")&amp;IF(AND(W68&lt;&gt;"",W68&lt;&gt;"Accept",AV68=""),"Target rating not set. ","")&amp;IF(AND(BE68="Closed",AX68="No"),"Closed while outside appetite. ","")&amp;IF(AND(W68="Transfer",BE68&lt;&gt;"Transferred",BE68&lt;&gt;"Closed"),"Transfer: record the contract, SLA and audit rights. ","")&amp;IF(AZ68="","Risk owner missing. ","")&amp;IF(K68="","Scenario not written. ",""))="","OK",TRIM(IF(W68="","Treatment not chosen. ","")&amp;IF(AND(W68="Accept",AX68="No"),"Accepted outside appetite: record approval by "&amp;INDEX(Settings!$G$20:$G$23,MATCH(AW68,Settings!$A$20:$A$23,0))&amp;". ","")&amp;IF(AND(W68="Accept",BG68=""),"Acceptance expiry missing. ","")&amp;IF(AND(BG68&lt;&gt;"",BG68&lt;TODAY()),"Acceptance expired. ","")&amp;IF(AND(W68&lt;&gt;"",W68&lt;&gt;"Accept",AV68=""),"Target rating not set. ","")&amp;IF(AND(BE68="Closed",AX68="No"),"Closed while outside appetite. ","")&amp;IF(AND(W68="Transfer",BE68&lt;&gt;"Transferred",BE68&lt;&gt;"Closed"),"Transfer: record the contract, SLA and audit rights. ","")&amp;IF(AZ68="","Risk owner missing. ","")&amp;IF(K68="","Scenario not written. ",""))))</f>
        <v/>
      </c>
      <c r="BM68" s="82" t="n"/>
    </row>
    <row r="69">
      <c r="A69" s="84" t="n"/>
      <c r="B69" s="83" t="n"/>
      <c r="C69" s="80" t="n"/>
      <c r="D69" s="81">
        <f>IF(C69="","",IFERROR(INDEX(Lists!$O$2:$O$13,MATCH(C69,Lists!$N$2:$N$13,0)),"Check domain code"))</f>
        <v/>
      </c>
      <c r="E69" s="81">
        <f>IF(C69="","",IFERROR(INDEX(Lists!$P$2:$P$13,MATCH(C69,Lists!$N$2:$N$13,0)),""))</f>
        <v/>
      </c>
      <c r="F69" s="80" t="n"/>
      <c r="G69" s="82" t="n"/>
      <c r="H69" s="82" t="n"/>
      <c r="I69" s="82" t="n"/>
      <c r="J69" s="83" t="n"/>
      <c r="K69" s="82" t="n"/>
      <c r="L69" s="82" t="n"/>
      <c r="M69" s="84" t="n"/>
      <c r="N69" s="21" t="n"/>
      <c r="O69" s="82" t="n"/>
      <c r="P69" s="85" t="n"/>
      <c r="Q69" s="85" t="n"/>
      <c r="R69" s="85" t="n"/>
      <c r="S69" s="21">
        <f>IF(OR(Q69="",R69=""),"",Q69*R69)</f>
        <v/>
      </c>
      <c r="T69" s="21">
        <f>IF(S69="","",INDEX(Settings!$A$20:$A$23,MATCH(S69,Settings!$B$20:$B$23,1)))</f>
        <v/>
      </c>
      <c r="U69" s="82" t="n"/>
      <c r="V69" s="86" t="n"/>
      <c r="W69" s="85" t="n"/>
      <c r="X69" s="82" t="n"/>
      <c r="Y69" s="87" t="n"/>
      <c r="Z69" s="87" t="n"/>
      <c r="AA69" s="87" t="n"/>
      <c r="AB69" s="87" t="n"/>
      <c r="AC69" s="87" t="n"/>
      <c r="AD69" s="87" t="n"/>
      <c r="AE69" s="87" t="n"/>
      <c r="AF69" s="87" t="n"/>
      <c r="AG69" s="87" t="n"/>
      <c r="AH69" s="87" t="n"/>
      <c r="AI69" s="87" t="n"/>
      <c r="AJ69" s="88" t="n"/>
      <c r="AK69" s="87" t="n"/>
      <c r="AL69" s="87" t="n"/>
      <c r="AM69" s="87" t="n"/>
      <c r="AN69" s="87" t="n"/>
      <c r="AO69" s="87" t="n"/>
      <c r="AP69" s="87" t="n"/>
      <c r="AQ69" s="88" t="n"/>
      <c r="AR69" s="88" t="n"/>
      <c r="AS69" s="85" t="n"/>
      <c r="AT69" s="85" t="n"/>
      <c r="AU69" s="21">
        <f>IF(OR(AS69="",AT69=""),"",AS69*AT69)</f>
        <v/>
      </c>
      <c r="AV69" s="21">
        <f>IF(AU69="","",INDEX(Settings!$A$20:$A$23,MATCH(AU69,Settings!$B$20:$B$23,1)))</f>
        <v/>
      </c>
      <c r="AW69" s="21">
        <f>IF(AV69&lt;&gt;"",AV69,T69)</f>
        <v/>
      </c>
      <c r="AX69" s="21">
        <f>IF(AW69="","",IF(MATCH(AW69,Settings!$A$20:$A$23,0)&lt;=MATCH(Settings!$C$28,Settings!$A$20:$A$23,0),"Yes","No"))</f>
        <v/>
      </c>
      <c r="AY69" s="81">
        <f>IF(AW69="","",IF(AX69="Yes",INDEX(Settings!$G$20:$G$23,MATCH(AW69,Settings!$A$20:$A$23,0)),INDEX(Settings!$G$20:$G$23,MATCH(AW69,Settings!$A$20:$A$23,0))&amp;" (outside appetite)"))</f>
        <v/>
      </c>
      <c r="AZ69" s="82" t="n"/>
      <c r="BA69" s="82" t="n"/>
      <c r="BB69" s="89" t="n"/>
      <c r="BC69" s="90">
        <f>IF(OR(BB69="",T69=""),"",BB69+INDEX(Settings!$E$20:$E$23,MATCH(T69,Settings!$A$20:$A$23,0)))</f>
        <v/>
      </c>
      <c r="BD69" s="89" t="n"/>
      <c r="BE69" s="82" t="n"/>
      <c r="BF69" s="81">
        <f>IF(A69="","",IF(OR(BE69="Closed",BE69="Accepted"),"No action",IF(BB69="","Set date identified",IF(TODAY()&gt;BC69,"Deadline exceeded",IF(BC69-TODAY()&lt;=Settings!$C$30,"Deadline approaching","On track")))))</f>
        <v/>
      </c>
      <c r="BG69" s="89" t="n"/>
      <c r="BH69" s="89" t="n"/>
      <c r="BI69" s="90">
        <f>IF(OR(BH69="",AW69=""),"",EDATE(BH69,INDEX(Settings!$F$20:$F$23,MATCH(AW69,Settings!$A$20:$A$23,0))))</f>
        <v/>
      </c>
      <c r="BJ69" s="21">
        <f>IF(T69="","",IF(MAX(IF(T69="",0,MATCH(T69,Settings!$A$20:$A$23,0)),IF(AV69="",0,MATCH(AV69,Settings!$A$20:$A$23,0)))&gt;=MATCH(Settings!$C$29,Settings!$A$20:$A$23,0),"Yes","No"))</f>
        <v/>
      </c>
      <c r="BK69" s="82" t="n"/>
      <c r="BL69" s="81">
        <f>IF(A69="","",IF(TRIM(IF(W69="","Treatment not chosen. ","")&amp;IF(AND(W69="Accept",AX69="No"),"Accepted outside appetite: record approval by "&amp;INDEX(Settings!$G$20:$G$23,MATCH(AW69,Settings!$A$20:$A$23,0))&amp;". ","")&amp;IF(AND(W69="Accept",BG69=""),"Acceptance expiry missing. ","")&amp;IF(AND(BG69&lt;&gt;"",BG69&lt;TODAY()),"Acceptance expired. ","")&amp;IF(AND(W69&lt;&gt;"",W69&lt;&gt;"Accept",AV69=""),"Target rating not set. ","")&amp;IF(AND(BE69="Closed",AX69="No"),"Closed while outside appetite. ","")&amp;IF(AND(W69="Transfer",BE69&lt;&gt;"Transferred",BE69&lt;&gt;"Closed"),"Transfer: record the contract, SLA and audit rights. ","")&amp;IF(AZ69="","Risk owner missing. ","")&amp;IF(K69="","Scenario not written. ",""))="","OK",TRIM(IF(W69="","Treatment not chosen. ","")&amp;IF(AND(W69="Accept",AX69="No"),"Accepted outside appetite: record approval by "&amp;INDEX(Settings!$G$20:$G$23,MATCH(AW69,Settings!$A$20:$A$23,0))&amp;". ","")&amp;IF(AND(W69="Accept",BG69=""),"Acceptance expiry missing. ","")&amp;IF(AND(BG69&lt;&gt;"",BG69&lt;TODAY()),"Acceptance expired. ","")&amp;IF(AND(W69&lt;&gt;"",W69&lt;&gt;"Accept",AV69=""),"Target rating not set. ","")&amp;IF(AND(BE69="Closed",AX69="No"),"Closed while outside appetite. ","")&amp;IF(AND(W69="Transfer",BE69&lt;&gt;"Transferred",BE69&lt;&gt;"Closed"),"Transfer: record the contract, SLA and audit rights. ","")&amp;IF(AZ69="","Risk owner missing. ","")&amp;IF(K69="","Scenario not written. ",""))))</f>
        <v/>
      </c>
      <c r="BM69" s="82" t="n"/>
    </row>
    <row r="70">
      <c r="A70" s="94" t="n"/>
      <c r="B70" s="93" t="n"/>
      <c r="C70" s="80" t="n"/>
      <c r="D70" s="81">
        <f>IF(C70="","",IFERROR(INDEX(Lists!$O$2:$O$13,MATCH(C70,Lists!$N$2:$N$13,0)),"Check domain code"))</f>
        <v/>
      </c>
      <c r="E70" s="81">
        <f>IF(C70="","",IFERROR(INDEX(Lists!$P$2:$P$13,MATCH(C70,Lists!$N$2:$N$13,0)),""))</f>
        <v/>
      </c>
      <c r="F70" s="80" t="n"/>
      <c r="G70" s="82" t="n"/>
      <c r="H70" s="82" t="n"/>
      <c r="I70" s="82" t="n"/>
      <c r="J70" s="93" t="n"/>
      <c r="K70" s="82" t="n"/>
      <c r="L70" s="82" t="n"/>
      <c r="M70" s="94" t="n"/>
      <c r="N70" s="21" t="n"/>
      <c r="O70" s="82" t="n"/>
      <c r="P70" s="85" t="n"/>
      <c r="Q70" s="85" t="n"/>
      <c r="R70" s="85" t="n"/>
      <c r="S70" s="21">
        <f>IF(OR(Q70="",R70=""),"",Q70*R70)</f>
        <v/>
      </c>
      <c r="T70" s="21">
        <f>IF(S70="","",INDEX(Settings!$A$20:$A$23,MATCH(S70,Settings!$B$20:$B$23,1)))</f>
        <v/>
      </c>
      <c r="U70" s="82" t="n"/>
      <c r="V70" s="86" t="n"/>
      <c r="W70" s="85" t="n"/>
      <c r="X70" s="82" t="n"/>
      <c r="Y70" s="95" t="n"/>
      <c r="Z70" s="95" t="n"/>
      <c r="AA70" s="95" t="n"/>
      <c r="AB70" s="95" t="n"/>
      <c r="AC70" s="95" t="n"/>
      <c r="AD70" s="95" t="n"/>
      <c r="AE70" s="95" t="n"/>
      <c r="AF70" s="95" t="n"/>
      <c r="AG70" s="95" t="n"/>
      <c r="AH70" s="95" t="n"/>
      <c r="AI70" s="95" t="n"/>
      <c r="AJ70" s="96" t="n"/>
      <c r="AK70" s="95" t="n"/>
      <c r="AL70" s="95" t="n"/>
      <c r="AM70" s="95" t="n"/>
      <c r="AN70" s="95" t="n"/>
      <c r="AO70" s="95" t="n"/>
      <c r="AP70" s="95" t="n"/>
      <c r="AQ70" s="96" t="n"/>
      <c r="AR70" s="96" t="n"/>
      <c r="AS70" s="85" t="n"/>
      <c r="AT70" s="85" t="n"/>
      <c r="AU70" s="21">
        <f>IF(OR(AS70="",AT70=""),"",AS70*AT70)</f>
        <v/>
      </c>
      <c r="AV70" s="21">
        <f>IF(AU70="","",INDEX(Settings!$A$20:$A$23,MATCH(AU70,Settings!$B$20:$B$23,1)))</f>
        <v/>
      </c>
      <c r="AW70" s="21">
        <f>IF(AV70&lt;&gt;"",AV70,T70)</f>
        <v/>
      </c>
      <c r="AX70" s="21">
        <f>IF(AW70="","",IF(MATCH(AW70,Settings!$A$20:$A$23,0)&lt;=MATCH(Settings!$C$28,Settings!$A$20:$A$23,0),"Yes","No"))</f>
        <v/>
      </c>
      <c r="AY70" s="81">
        <f>IF(AW70="","",IF(AX70="Yes",INDEX(Settings!$G$20:$G$23,MATCH(AW70,Settings!$A$20:$A$23,0)),INDEX(Settings!$G$20:$G$23,MATCH(AW70,Settings!$A$20:$A$23,0))&amp;" (outside appetite)"))</f>
        <v/>
      </c>
      <c r="AZ70" s="82" t="n"/>
      <c r="BA70" s="82" t="n"/>
      <c r="BB70" s="89" t="n"/>
      <c r="BC70" s="90">
        <f>IF(OR(BB70="",T70=""),"",BB70+INDEX(Settings!$E$20:$E$23,MATCH(T70,Settings!$A$20:$A$23,0)))</f>
        <v/>
      </c>
      <c r="BD70" s="89" t="n"/>
      <c r="BE70" s="82" t="n"/>
      <c r="BF70" s="81">
        <f>IF(A70="","",IF(OR(BE70="Closed",BE70="Accepted"),"No action",IF(BB70="","Set date identified",IF(TODAY()&gt;BC70,"Deadline exceeded",IF(BC70-TODAY()&lt;=Settings!$C$30,"Deadline approaching","On track")))))</f>
        <v/>
      </c>
      <c r="BG70" s="89" t="n"/>
      <c r="BH70" s="89" t="n"/>
      <c r="BI70" s="90">
        <f>IF(OR(BH70="",AW70=""),"",EDATE(BH70,INDEX(Settings!$F$20:$F$23,MATCH(AW70,Settings!$A$20:$A$23,0))))</f>
        <v/>
      </c>
      <c r="BJ70" s="21">
        <f>IF(T70="","",IF(MAX(IF(T70="",0,MATCH(T70,Settings!$A$20:$A$23,0)),IF(AV70="",0,MATCH(AV70,Settings!$A$20:$A$23,0)))&gt;=MATCH(Settings!$C$29,Settings!$A$20:$A$23,0),"Yes","No"))</f>
        <v/>
      </c>
      <c r="BK70" s="82" t="n"/>
      <c r="BL70" s="81">
        <f>IF(A70="","",IF(TRIM(IF(W70="","Treatment not chosen. ","")&amp;IF(AND(W70="Accept",AX70="No"),"Accepted outside appetite: record approval by "&amp;INDEX(Settings!$G$20:$G$23,MATCH(AW70,Settings!$A$20:$A$23,0))&amp;". ","")&amp;IF(AND(W70="Accept",BG70=""),"Acceptance expiry missing. ","")&amp;IF(AND(BG70&lt;&gt;"",BG70&lt;TODAY()),"Acceptance expired. ","")&amp;IF(AND(W70&lt;&gt;"",W70&lt;&gt;"Accept",AV70=""),"Target rating not set. ","")&amp;IF(AND(BE70="Closed",AX70="No"),"Closed while outside appetite. ","")&amp;IF(AND(W70="Transfer",BE70&lt;&gt;"Transferred",BE70&lt;&gt;"Closed"),"Transfer: record the contract, SLA and audit rights. ","")&amp;IF(AZ70="","Risk owner missing. ","")&amp;IF(K70="","Scenario not written. ",""))="","OK",TRIM(IF(W70="","Treatment not chosen. ","")&amp;IF(AND(W70="Accept",AX70="No"),"Accepted outside appetite: record approval by "&amp;INDEX(Settings!$G$20:$G$23,MATCH(AW70,Settings!$A$20:$A$23,0))&amp;". ","")&amp;IF(AND(W70="Accept",BG70=""),"Acceptance expiry missing. ","")&amp;IF(AND(BG70&lt;&gt;"",BG70&lt;TODAY()),"Acceptance expired. ","")&amp;IF(AND(W70&lt;&gt;"",W70&lt;&gt;"Accept",AV70=""),"Target rating not set. ","")&amp;IF(AND(BE70="Closed",AX70="No"),"Closed while outside appetite. ","")&amp;IF(AND(W70="Transfer",BE70&lt;&gt;"Transferred",BE70&lt;&gt;"Closed"),"Transfer: record the contract, SLA and audit rights. ","")&amp;IF(AZ70="","Risk owner missing. ","")&amp;IF(K70="","Scenario not written. ",""))))</f>
        <v/>
      </c>
      <c r="BM70" s="82" t="n"/>
    </row>
    <row r="71">
      <c r="A71" s="84" t="n"/>
      <c r="B71" s="83" t="n"/>
      <c r="C71" s="80" t="n"/>
      <c r="D71" s="81">
        <f>IF(C71="","",IFERROR(INDEX(Lists!$O$2:$O$13,MATCH(C71,Lists!$N$2:$N$13,0)),"Check domain code"))</f>
        <v/>
      </c>
      <c r="E71" s="81">
        <f>IF(C71="","",IFERROR(INDEX(Lists!$P$2:$P$13,MATCH(C71,Lists!$N$2:$N$13,0)),""))</f>
        <v/>
      </c>
      <c r="F71" s="80" t="n"/>
      <c r="G71" s="82" t="n"/>
      <c r="H71" s="82" t="n"/>
      <c r="I71" s="82" t="n"/>
      <c r="J71" s="83" t="n"/>
      <c r="K71" s="82" t="n"/>
      <c r="L71" s="82" t="n"/>
      <c r="M71" s="84" t="n"/>
      <c r="N71" s="21" t="n"/>
      <c r="O71" s="82" t="n"/>
      <c r="P71" s="85" t="n"/>
      <c r="Q71" s="85" t="n"/>
      <c r="R71" s="85" t="n"/>
      <c r="S71" s="21">
        <f>IF(OR(Q71="",R71=""),"",Q71*R71)</f>
        <v/>
      </c>
      <c r="T71" s="21">
        <f>IF(S71="","",INDEX(Settings!$A$20:$A$23,MATCH(S71,Settings!$B$20:$B$23,1)))</f>
        <v/>
      </c>
      <c r="U71" s="82" t="n"/>
      <c r="V71" s="86" t="n"/>
      <c r="W71" s="85" t="n"/>
      <c r="X71" s="82" t="n"/>
      <c r="Y71" s="87" t="n"/>
      <c r="Z71" s="87" t="n"/>
      <c r="AA71" s="87" t="n"/>
      <c r="AB71" s="87" t="n"/>
      <c r="AC71" s="87" t="n"/>
      <c r="AD71" s="87" t="n"/>
      <c r="AE71" s="87" t="n"/>
      <c r="AF71" s="87" t="n"/>
      <c r="AG71" s="87" t="n"/>
      <c r="AH71" s="87" t="n"/>
      <c r="AI71" s="87" t="n"/>
      <c r="AJ71" s="88" t="n"/>
      <c r="AK71" s="87" t="n"/>
      <c r="AL71" s="87" t="n"/>
      <c r="AM71" s="87" t="n"/>
      <c r="AN71" s="87" t="n"/>
      <c r="AO71" s="87" t="n"/>
      <c r="AP71" s="87" t="n"/>
      <c r="AQ71" s="88" t="n"/>
      <c r="AR71" s="88" t="n"/>
      <c r="AS71" s="85" t="n"/>
      <c r="AT71" s="85" t="n"/>
      <c r="AU71" s="21">
        <f>IF(OR(AS71="",AT71=""),"",AS71*AT71)</f>
        <v/>
      </c>
      <c r="AV71" s="21">
        <f>IF(AU71="","",INDEX(Settings!$A$20:$A$23,MATCH(AU71,Settings!$B$20:$B$23,1)))</f>
        <v/>
      </c>
      <c r="AW71" s="21">
        <f>IF(AV71&lt;&gt;"",AV71,T71)</f>
        <v/>
      </c>
      <c r="AX71" s="21">
        <f>IF(AW71="","",IF(MATCH(AW71,Settings!$A$20:$A$23,0)&lt;=MATCH(Settings!$C$28,Settings!$A$20:$A$23,0),"Yes","No"))</f>
        <v/>
      </c>
      <c r="AY71" s="81">
        <f>IF(AW71="","",IF(AX71="Yes",INDEX(Settings!$G$20:$G$23,MATCH(AW71,Settings!$A$20:$A$23,0)),INDEX(Settings!$G$20:$G$23,MATCH(AW71,Settings!$A$20:$A$23,0))&amp;" (outside appetite)"))</f>
        <v/>
      </c>
      <c r="AZ71" s="82" t="n"/>
      <c r="BA71" s="82" t="n"/>
      <c r="BB71" s="89" t="n"/>
      <c r="BC71" s="90">
        <f>IF(OR(BB71="",T71=""),"",BB71+INDEX(Settings!$E$20:$E$23,MATCH(T71,Settings!$A$20:$A$23,0)))</f>
        <v/>
      </c>
      <c r="BD71" s="89" t="n"/>
      <c r="BE71" s="82" t="n"/>
      <c r="BF71" s="81">
        <f>IF(A71="","",IF(OR(BE71="Closed",BE71="Accepted"),"No action",IF(BB71="","Set date identified",IF(TODAY()&gt;BC71,"Deadline exceeded",IF(BC71-TODAY()&lt;=Settings!$C$30,"Deadline approaching","On track")))))</f>
        <v/>
      </c>
      <c r="BG71" s="89" t="n"/>
      <c r="BH71" s="89" t="n"/>
      <c r="BI71" s="90">
        <f>IF(OR(BH71="",AW71=""),"",EDATE(BH71,INDEX(Settings!$F$20:$F$23,MATCH(AW71,Settings!$A$20:$A$23,0))))</f>
        <v/>
      </c>
      <c r="BJ71" s="21">
        <f>IF(T71="","",IF(MAX(IF(T71="",0,MATCH(T71,Settings!$A$20:$A$23,0)),IF(AV71="",0,MATCH(AV71,Settings!$A$20:$A$23,0)))&gt;=MATCH(Settings!$C$29,Settings!$A$20:$A$23,0),"Yes","No"))</f>
        <v/>
      </c>
      <c r="BK71" s="82" t="n"/>
      <c r="BL71" s="81">
        <f>IF(A71="","",IF(TRIM(IF(W71="","Treatment not chosen. ","")&amp;IF(AND(W71="Accept",AX71="No"),"Accepted outside appetite: record approval by "&amp;INDEX(Settings!$G$20:$G$23,MATCH(AW71,Settings!$A$20:$A$23,0))&amp;". ","")&amp;IF(AND(W71="Accept",BG71=""),"Acceptance expiry missing. ","")&amp;IF(AND(BG71&lt;&gt;"",BG71&lt;TODAY()),"Acceptance expired. ","")&amp;IF(AND(W71&lt;&gt;"",W71&lt;&gt;"Accept",AV71=""),"Target rating not set. ","")&amp;IF(AND(BE71="Closed",AX71="No"),"Closed while outside appetite. ","")&amp;IF(AND(W71="Transfer",BE71&lt;&gt;"Transferred",BE71&lt;&gt;"Closed"),"Transfer: record the contract, SLA and audit rights. ","")&amp;IF(AZ71="","Risk owner missing. ","")&amp;IF(K71="","Scenario not written. ",""))="","OK",TRIM(IF(W71="","Treatment not chosen. ","")&amp;IF(AND(W71="Accept",AX71="No"),"Accepted outside appetite: record approval by "&amp;INDEX(Settings!$G$20:$G$23,MATCH(AW71,Settings!$A$20:$A$23,0))&amp;". ","")&amp;IF(AND(W71="Accept",BG71=""),"Acceptance expiry missing. ","")&amp;IF(AND(BG71&lt;&gt;"",BG71&lt;TODAY()),"Acceptance expired. ","")&amp;IF(AND(W71&lt;&gt;"",W71&lt;&gt;"Accept",AV71=""),"Target rating not set. ","")&amp;IF(AND(BE71="Closed",AX71="No"),"Closed while outside appetite. ","")&amp;IF(AND(W71="Transfer",BE71&lt;&gt;"Transferred",BE71&lt;&gt;"Closed"),"Transfer: record the contract, SLA and audit rights. ","")&amp;IF(AZ71="","Risk owner missing. ","")&amp;IF(K71="","Scenario not written. ",""))))</f>
        <v/>
      </c>
      <c r="BM71" s="82" t="n"/>
    </row>
    <row r="72">
      <c r="A72" s="94" t="n"/>
      <c r="B72" s="93" t="n"/>
      <c r="C72" s="80" t="n"/>
      <c r="D72" s="81">
        <f>IF(C72="","",IFERROR(INDEX(Lists!$O$2:$O$13,MATCH(C72,Lists!$N$2:$N$13,0)),"Check domain code"))</f>
        <v/>
      </c>
      <c r="E72" s="81">
        <f>IF(C72="","",IFERROR(INDEX(Lists!$P$2:$P$13,MATCH(C72,Lists!$N$2:$N$13,0)),""))</f>
        <v/>
      </c>
      <c r="F72" s="80" t="n"/>
      <c r="G72" s="82" t="n"/>
      <c r="H72" s="82" t="n"/>
      <c r="I72" s="82" t="n"/>
      <c r="J72" s="93" t="n"/>
      <c r="K72" s="82" t="n"/>
      <c r="L72" s="82" t="n"/>
      <c r="M72" s="94" t="n"/>
      <c r="N72" s="21" t="n"/>
      <c r="O72" s="82" t="n"/>
      <c r="P72" s="85" t="n"/>
      <c r="Q72" s="85" t="n"/>
      <c r="R72" s="85" t="n"/>
      <c r="S72" s="21">
        <f>IF(OR(Q72="",R72=""),"",Q72*R72)</f>
        <v/>
      </c>
      <c r="T72" s="21">
        <f>IF(S72="","",INDEX(Settings!$A$20:$A$23,MATCH(S72,Settings!$B$20:$B$23,1)))</f>
        <v/>
      </c>
      <c r="U72" s="82" t="n"/>
      <c r="V72" s="86" t="n"/>
      <c r="W72" s="85" t="n"/>
      <c r="X72" s="82" t="n"/>
      <c r="Y72" s="95" t="n"/>
      <c r="Z72" s="95" t="n"/>
      <c r="AA72" s="95" t="n"/>
      <c r="AB72" s="95" t="n"/>
      <c r="AC72" s="95" t="n"/>
      <c r="AD72" s="95" t="n"/>
      <c r="AE72" s="95" t="n"/>
      <c r="AF72" s="95" t="n"/>
      <c r="AG72" s="95" t="n"/>
      <c r="AH72" s="95" t="n"/>
      <c r="AI72" s="95" t="n"/>
      <c r="AJ72" s="96" t="n"/>
      <c r="AK72" s="95" t="n"/>
      <c r="AL72" s="95" t="n"/>
      <c r="AM72" s="95" t="n"/>
      <c r="AN72" s="95" t="n"/>
      <c r="AO72" s="95" t="n"/>
      <c r="AP72" s="95" t="n"/>
      <c r="AQ72" s="96" t="n"/>
      <c r="AR72" s="96" t="n"/>
      <c r="AS72" s="85" t="n"/>
      <c r="AT72" s="85" t="n"/>
      <c r="AU72" s="21">
        <f>IF(OR(AS72="",AT72=""),"",AS72*AT72)</f>
        <v/>
      </c>
      <c r="AV72" s="21">
        <f>IF(AU72="","",INDEX(Settings!$A$20:$A$23,MATCH(AU72,Settings!$B$20:$B$23,1)))</f>
        <v/>
      </c>
      <c r="AW72" s="21">
        <f>IF(AV72&lt;&gt;"",AV72,T72)</f>
        <v/>
      </c>
      <c r="AX72" s="21">
        <f>IF(AW72="","",IF(MATCH(AW72,Settings!$A$20:$A$23,0)&lt;=MATCH(Settings!$C$28,Settings!$A$20:$A$23,0),"Yes","No"))</f>
        <v/>
      </c>
      <c r="AY72" s="81">
        <f>IF(AW72="","",IF(AX72="Yes",INDEX(Settings!$G$20:$G$23,MATCH(AW72,Settings!$A$20:$A$23,0)),INDEX(Settings!$G$20:$G$23,MATCH(AW72,Settings!$A$20:$A$23,0))&amp;" (outside appetite)"))</f>
        <v/>
      </c>
      <c r="AZ72" s="82" t="n"/>
      <c r="BA72" s="82" t="n"/>
      <c r="BB72" s="89" t="n"/>
      <c r="BC72" s="90">
        <f>IF(OR(BB72="",T72=""),"",BB72+INDEX(Settings!$E$20:$E$23,MATCH(T72,Settings!$A$20:$A$23,0)))</f>
        <v/>
      </c>
      <c r="BD72" s="89" t="n"/>
      <c r="BE72" s="82" t="n"/>
      <c r="BF72" s="81">
        <f>IF(A72="","",IF(OR(BE72="Closed",BE72="Accepted"),"No action",IF(BB72="","Set date identified",IF(TODAY()&gt;BC72,"Deadline exceeded",IF(BC72-TODAY()&lt;=Settings!$C$30,"Deadline approaching","On track")))))</f>
        <v/>
      </c>
      <c r="BG72" s="89" t="n"/>
      <c r="BH72" s="89" t="n"/>
      <c r="BI72" s="90">
        <f>IF(OR(BH72="",AW72=""),"",EDATE(BH72,INDEX(Settings!$F$20:$F$23,MATCH(AW72,Settings!$A$20:$A$23,0))))</f>
        <v/>
      </c>
      <c r="BJ72" s="21">
        <f>IF(T72="","",IF(MAX(IF(T72="",0,MATCH(T72,Settings!$A$20:$A$23,0)),IF(AV72="",0,MATCH(AV72,Settings!$A$20:$A$23,0)))&gt;=MATCH(Settings!$C$29,Settings!$A$20:$A$23,0),"Yes","No"))</f>
        <v/>
      </c>
      <c r="BK72" s="82" t="n"/>
      <c r="BL72" s="81">
        <f>IF(A72="","",IF(TRIM(IF(W72="","Treatment not chosen. ","")&amp;IF(AND(W72="Accept",AX72="No"),"Accepted outside appetite: record approval by "&amp;INDEX(Settings!$G$20:$G$23,MATCH(AW72,Settings!$A$20:$A$23,0))&amp;". ","")&amp;IF(AND(W72="Accept",BG72=""),"Acceptance expiry missing. ","")&amp;IF(AND(BG72&lt;&gt;"",BG72&lt;TODAY()),"Acceptance expired. ","")&amp;IF(AND(W72&lt;&gt;"",W72&lt;&gt;"Accept",AV72=""),"Target rating not set. ","")&amp;IF(AND(BE72="Closed",AX72="No"),"Closed while outside appetite. ","")&amp;IF(AND(W72="Transfer",BE72&lt;&gt;"Transferred",BE72&lt;&gt;"Closed"),"Transfer: record the contract, SLA and audit rights. ","")&amp;IF(AZ72="","Risk owner missing. ","")&amp;IF(K72="","Scenario not written. ",""))="","OK",TRIM(IF(W72="","Treatment not chosen. ","")&amp;IF(AND(W72="Accept",AX72="No"),"Accepted outside appetite: record approval by "&amp;INDEX(Settings!$G$20:$G$23,MATCH(AW72,Settings!$A$20:$A$23,0))&amp;". ","")&amp;IF(AND(W72="Accept",BG72=""),"Acceptance expiry missing. ","")&amp;IF(AND(BG72&lt;&gt;"",BG72&lt;TODAY()),"Acceptance expired. ","")&amp;IF(AND(W72&lt;&gt;"",W72&lt;&gt;"Accept",AV72=""),"Target rating not set. ","")&amp;IF(AND(BE72="Closed",AX72="No"),"Closed while outside appetite. ","")&amp;IF(AND(W72="Transfer",BE72&lt;&gt;"Transferred",BE72&lt;&gt;"Closed"),"Transfer: record the contract, SLA and audit rights. ","")&amp;IF(AZ72="","Risk owner missing. ","")&amp;IF(K72="","Scenario not written. ",""))))</f>
        <v/>
      </c>
      <c r="BM72" s="82" t="n"/>
    </row>
    <row r="73">
      <c r="A73" s="84" t="n"/>
      <c r="B73" s="83" t="n"/>
      <c r="C73" s="80" t="n"/>
      <c r="D73" s="81">
        <f>IF(C73="","",IFERROR(INDEX(Lists!$O$2:$O$13,MATCH(C73,Lists!$N$2:$N$13,0)),"Check domain code"))</f>
        <v/>
      </c>
      <c r="E73" s="81">
        <f>IF(C73="","",IFERROR(INDEX(Lists!$P$2:$P$13,MATCH(C73,Lists!$N$2:$N$13,0)),""))</f>
        <v/>
      </c>
      <c r="F73" s="80" t="n"/>
      <c r="G73" s="82" t="n"/>
      <c r="H73" s="82" t="n"/>
      <c r="I73" s="82" t="n"/>
      <c r="J73" s="83" t="n"/>
      <c r="K73" s="82" t="n"/>
      <c r="L73" s="82" t="n"/>
      <c r="M73" s="84" t="n"/>
      <c r="N73" s="21" t="n"/>
      <c r="O73" s="82" t="n"/>
      <c r="P73" s="85" t="n"/>
      <c r="Q73" s="85" t="n"/>
      <c r="R73" s="85" t="n"/>
      <c r="S73" s="21">
        <f>IF(OR(Q73="",R73=""),"",Q73*R73)</f>
        <v/>
      </c>
      <c r="T73" s="21">
        <f>IF(S73="","",INDEX(Settings!$A$20:$A$23,MATCH(S73,Settings!$B$20:$B$23,1)))</f>
        <v/>
      </c>
      <c r="U73" s="82" t="n"/>
      <c r="V73" s="86" t="n"/>
      <c r="W73" s="85" t="n"/>
      <c r="X73" s="82" t="n"/>
      <c r="Y73" s="87" t="n"/>
      <c r="Z73" s="87" t="n"/>
      <c r="AA73" s="87" t="n"/>
      <c r="AB73" s="87" t="n"/>
      <c r="AC73" s="87" t="n"/>
      <c r="AD73" s="87" t="n"/>
      <c r="AE73" s="87" t="n"/>
      <c r="AF73" s="87" t="n"/>
      <c r="AG73" s="87" t="n"/>
      <c r="AH73" s="87" t="n"/>
      <c r="AI73" s="87" t="n"/>
      <c r="AJ73" s="88" t="n"/>
      <c r="AK73" s="87" t="n"/>
      <c r="AL73" s="87" t="n"/>
      <c r="AM73" s="87" t="n"/>
      <c r="AN73" s="87" t="n"/>
      <c r="AO73" s="87" t="n"/>
      <c r="AP73" s="87" t="n"/>
      <c r="AQ73" s="88" t="n"/>
      <c r="AR73" s="88" t="n"/>
      <c r="AS73" s="85" t="n"/>
      <c r="AT73" s="85" t="n"/>
      <c r="AU73" s="21">
        <f>IF(OR(AS73="",AT73=""),"",AS73*AT73)</f>
        <v/>
      </c>
      <c r="AV73" s="21">
        <f>IF(AU73="","",INDEX(Settings!$A$20:$A$23,MATCH(AU73,Settings!$B$20:$B$23,1)))</f>
        <v/>
      </c>
      <c r="AW73" s="21">
        <f>IF(AV73&lt;&gt;"",AV73,T73)</f>
        <v/>
      </c>
      <c r="AX73" s="21">
        <f>IF(AW73="","",IF(MATCH(AW73,Settings!$A$20:$A$23,0)&lt;=MATCH(Settings!$C$28,Settings!$A$20:$A$23,0),"Yes","No"))</f>
        <v/>
      </c>
      <c r="AY73" s="81">
        <f>IF(AW73="","",IF(AX73="Yes",INDEX(Settings!$G$20:$G$23,MATCH(AW73,Settings!$A$20:$A$23,0)),INDEX(Settings!$G$20:$G$23,MATCH(AW73,Settings!$A$20:$A$23,0))&amp;" (outside appetite)"))</f>
        <v/>
      </c>
      <c r="AZ73" s="82" t="n"/>
      <c r="BA73" s="82" t="n"/>
      <c r="BB73" s="89" t="n"/>
      <c r="BC73" s="90">
        <f>IF(OR(BB73="",T73=""),"",BB73+INDEX(Settings!$E$20:$E$23,MATCH(T73,Settings!$A$20:$A$23,0)))</f>
        <v/>
      </c>
      <c r="BD73" s="89" t="n"/>
      <c r="BE73" s="82" t="n"/>
      <c r="BF73" s="81">
        <f>IF(A73="","",IF(OR(BE73="Closed",BE73="Accepted"),"No action",IF(BB73="","Set date identified",IF(TODAY()&gt;BC73,"Deadline exceeded",IF(BC73-TODAY()&lt;=Settings!$C$30,"Deadline approaching","On track")))))</f>
        <v/>
      </c>
      <c r="BG73" s="89" t="n"/>
      <c r="BH73" s="89" t="n"/>
      <c r="BI73" s="90">
        <f>IF(OR(BH73="",AW73=""),"",EDATE(BH73,INDEX(Settings!$F$20:$F$23,MATCH(AW73,Settings!$A$20:$A$23,0))))</f>
        <v/>
      </c>
      <c r="BJ73" s="21">
        <f>IF(T73="","",IF(MAX(IF(T73="",0,MATCH(T73,Settings!$A$20:$A$23,0)),IF(AV73="",0,MATCH(AV73,Settings!$A$20:$A$23,0)))&gt;=MATCH(Settings!$C$29,Settings!$A$20:$A$23,0),"Yes","No"))</f>
        <v/>
      </c>
      <c r="BK73" s="82" t="n"/>
      <c r="BL73" s="81">
        <f>IF(A73="","",IF(TRIM(IF(W73="","Treatment not chosen. ","")&amp;IF(AND(W73="Accept",AX73="No"),"Accepted outside appetite: record approval by "&amp;INDEX(Settings!$G$20:$G$23,MATCH(AW73,Settings!$A$20:$A$23,0))&amp;". ","")&amp;IF(AND(W73="Accept",BG73=""),"Acceptance expiry missing. ","")&amp;IF(AND(BG73&lt;&gt;"",BG73&lt;TODAY()),"Acceptance expired. ","")&amp;IF(AND(W73&lt;&gt;"",W73&lt;&gt;"Accept",AV73=""),"Target rating not set. ","")&amp;IF(AND(BE73="Closed",AX73="No"),"Closed while outside appetite. ","")&amp;IF(AND(W73="Transfer",BE73&lt;&gt;"Transferred",BE73&lt;&gt;"Closed"),"Transfer: record the contract, SLA and audit rights. ","")&amp;IF(AZ73="","Risk owner missing. ","")&amp;IF(K73="","Scenario not written. ",""))="","OK",TRIM(IF(W73="","Treatment not chosen. ","")&amp;IF(AND(W73="Accept",AX73="No"),"Accepted outside appetite: record approval by "&amp;INDEX(Settings!$G$20:$G$23,MATCH(AW73,Settings!$A$20:$A$23,0))&amp;". ","")&amp;IF(AND(W73="Accept",BG73=""),"Acceptance expiry missing. ","")&amp;IF(AND(BG73&lt;&gt;"",BG73&lt;TODAY()),"Acceptance expired. ","")&amp;IF(AND(W73&lt;&gt;"",W73&lt;&gt;"Accept",AV73=""),"Target rating not set. ","")&amp;IF(AND(BE73="Closed",AX73="No"),"Closed while outside appetite. ","")&amp;IF(AND(W73="Transfer",BE73&lt;&gt;"Transferred",BE73&lt;&gt;"Closed"),"Transfer: record the contract, SLA and audit rights. ","")&amp;IF(AZ73="","Risk owner missing. ","")&amp;IF(K73="","Scenario not written. ",""))))</f>
        <v/>
      </c>
      <c r="BM73" s="82" t="n"/>
    </row>
    <row r="74">
      <c r="A74" s="94" t="n"/>
      <c r="B74" s="93" t="n"/>
      <c r="C74" s="80" t="n"/>
      <c r="D74" s="81">
        <f>IF(C74="","",IFERROR(INDEX(Lists!$O$2:$O$13,MATCH(C74,Lists!$N$2:$N$13,0)),"Check domain code"))</f>
        <v/>
      </c>
      <c r="E74" s="81">
        <f>IF(C74="","",IFERROR(INDEX(Lists!$P$2:$P$13,MATCH(C74,Lists!$N$2:$N$13,0)),""))</f>
        <v/>
      </c>
      <c r="F74" s="80" t="n"/>
      <c r="G74" s="82" t="n"/>
      <c r="H74" s="82" t="n"/>
      <c r="I74" s="82" t="n"/>
      <c r="J74" s="93" t="n"/>
      <c r="K74" s="82" t="n"/>
      <c r="L74" s="82" t="n"/>
      <c r="M74" s="94" t="n"/>
      <c r="N74" s="21" t="n"/>
      <c r="O74" s="82" t="n"/>
      <c r="P74" s="85" t="n"/>
      <c r="Q74" s="85" t="n"/>
      <c r="R74" s="85" t="n"/>
      <c r="S74" s="21">
        <f>IF(OR(Q74="",R74=""),"",Q74*R74)</f>
        <v/>
      </c>
      <c r="T74" s="21">
        <f>IF(S74="","",INDEX(Settings!$A$20:$A$23,MATCH(S74,Settings!$B$20:$B$23,1)))</f>
        <v/>
      </c>
      <c r="U74" s="82" t="n"/>
      <c r="V74" s="86" t="n"/>
      <c r="W74" s="85" t="n"/>
      <c r="X74" s="82" t="n"/>
      <c r="Y74" s="95" t="n"/>
      <c r="Z74" s="95" t="n"/>
      <c r="AA74" s="95" t="n"/>
      <c r="AB74" s="95" t="n"/>
      <c r="AC74" s="95" t="n"/>
      <c r="AD74" s="95" t="n"/>
      <c r="AE74" s="95" t="n"/>
      <c r="AF74" s="95" t="n"/>
      <c r="AG74" s="95" t="n"/>
      <c r="AH74" s="95" t="n"/>
      <c r="AI74" s="95" t="n"/>
      <c r="AJ74" s="96" t="n"/>
      <c r="AK74" s="95" t="n"/>
      <c r="AL74" s="95" t="n"/>
      <c r="AM74" s="95" t="n"/>
      <c r="AN74" s="95" t="n"/>
      <c r="AO74" s="95" t="n"/>
      <c r="AP74" s="95" t="n"/>
      <c r="AQ74" s="96" t="n"/>
      <c r="AR74" s="96" t="n"/>
      <c r="AS74" s="85" t="n"/>
      <c r="AT74" s="85" t="n"/>
      <c r="AU74" s="21">
        <f>IF(OR(AS74="",AT74=""),"",AS74*AT74)</f>
        <v/>
      </c>
      <c r="AV74" s="21">
        <f>IF(AU74="","",INDEX(Settings!$A$20:$A$23,MATCH(AU74,Settings!$B$20:$B$23,1)))</f>
        <v/>
      </c>
      <c r="AW74" s="21">
        <f>IF(AV74&lt;&gt;"",AV74,T74)</f>
        <v/>
      </c>
      <c r="AX74" s="21">
        <f>IF(AW74="","",IF(MATCH(AW74,Settings!$A$20:$A$23,0)&lt;=MATCH(Settings!$C$28,Settings!$A$20:$A$23,0),"Yes","No"))</f>
        <v/>
      </c>
      <c r="AY74" s="81">
        <f>IF(AW74="","",IF(AX74="Yes",INDEX(Settings!$G$20:$G$23,MATCH(AW74,Settings!$A$20:$A$23,0)),INDEX(Settings!$G$20:$G$23,MATCH(AW74,Settings!$A$20:$A$23,0))&amp;" (outside appetite)"))</f>
        <v/>
      </c>
      <c r="AZ74" s="82" t="n"/>
      <c r="BA74" s="82" t="n"/>
      <c r="BB74" s="89" t="n"/>
      <c r="BC74" s="90">
        <f>IF(OR(BB74="",T74=""),"",BB74+INDEX(Settings!$E$20:$E$23,MATCH(T74,Settings!$A$20:$A$23,0)))</f>
        <v/>
      </c>
      <c r="BD74" s="89" t="n"/>
      <c r="BE74" s="82" t="n"/>
      <c r="BF74" s="81">
        <f>IF(A74="","",IF(OR(BE74="Closed",BE74="Accepted"),"No action",IF(BB74="","Set date identified",IF(TODAY()&gt;BC74,"Deadline exceeded",IF(BC74-TODAY()&lt;=Settings!$C$30,"Deadline approaching","On track")))))</f>
        <v/>
      </c>
      <c r="BG74" s="89" t="n"/>
      <c r="BH74" s="89" t="n"/>
      <c r="BI74" s="90">
        <f>IF(OR(BH74="",AW74=""),"",EDATE(BH74,INDEX(Settings!$F$20:$F$23,MATCH(AW74,Settings!$A$20:$A$23,0))))</f>
        <v/>
      </c>
      <c r="BJ74" s="21">
        <f>IF(T74="","",IF(MAX(IF(T74="",0,MATCH(T74,Settings!$A$20:$A$23,0)),IF(AV74="",0,MATCH(AV74,Settings!$A$20:$A$23,0)))&gt;=MATCH(Settings!$C$29,Settings!$A$20:$A$23,0),"Yes","No"))</f>
        <v/>
      </c>
      <c r="BK74" s="82" t="n"/>
      <c r="BL74" s="81">
        <f>IF(A74="","",IF(TRIM(IF(W74="","Treatment not chosen. ","")&amp;IF(AND(W74="Accept",AX74="No"),"Accepted outside appetite: record approval by "&amp;INDEX(Settings!$G$20:$G$23,MATCH(AW74,Settings!$A$20:$A$23,0))&amp;". ","")&amp;IF(AND(W74="Accept",BG74=""),"Acceptance expiry missing. ","")&amp;IF(AND(BG74&lt;&gt;"",BG74&lt;TODAY()),"Acceptance expired. ","")&amp;IF(AND(W74&lt;&gt;"",W74&lt;&gt;"Accept",AV74=""),"Target rating not set. ","")&amp;IF(AND(BE74="Closed",AX74="No"),"Closed while outside appetite. ","")&amp;IF(AND(W74="Transfer",BE74&lt;&gt;"Transferred",BE74&lt;&gt;"Closed"),"Transfer: record the contract, SLA and audit rights. ","")&amp;IF(AZ74="","Risk owner missing. ","")&amp;IF(K74="","Scenario not written. ",""))="","OK",TRIM(IF(W74="","Treatment not chosen. ","")&amp;IF(AND(W74="Accept",AX74="No"),"Accepted outside appetite: record approval by "&amp;INDEX(Settings!$G$20:$G$23,MATCH(AW74,Settings!$A$20:$A$23,0))&amp;". ","")&amp;IF(AND(W74="Accept",BG74=""),"Acceptance expiry missing. ","")&amp;IF(AND(BG74&lt;&gt;"",BG74&lt;TODAY()),"Acceptance expired. ","")&amp;IF(AND(W74&lt;&gt;"",W74&lt;&gt;"Accept",AV74=""),"Target rating not set. ","")&amp;IF(AND(BE74="Closed",AX74="No"),"Closed while outside appetite. ","")&amp;IF(AND(W74="Transfer",BE74&lt;&gt;"Transferred",BE74&lt;&gt;"Closed"),"Transfer: record the contract, SLA and audit rights. ","")&amp;IF(AZ74="","Risk owner missing. ","")&amp;IF(K74="","Scenario not written. ",""))))</f>
        <v/>
      </c>
      <c r="BM74" s="82" t="n"/>
    </row>
    <row r="75">
      <c r="A75" s="84" t="n"/>
      <c r="B75" s="83" t="n"/>
      <c r="C75" s="80" t="n"/>
      <c r="D75" s="81">
        <f>IF(C75="","",IFERROR(INDEX(Lists!$O$2:$O$13,MATCH(C75,Lists!$N$2:$N$13,0)),"Check domain code"))</f>
        <v/>
      </c>
      <c r="E75" s="81">
        <f>IF(C75="","",IFERROR(INDEX(Lists!$P$2:$P$13,MATCH(C75,Lists!$N$2:$N$13,0)),""))</f>
        <v/>
      </c>
      <c r="F75" s="80" t="n"/>
      <c r="G75" s="82" t="n"/>
      <c r="H75" s="82" t="n"/>
      <c r="I75" s="82" t="n"/>
      <c r="J75" s="83" t="n"/>
      <c r="K75" s="82" t="n"/>
      <c r="L75" s="82" t="n"/>
      <c r="M75" s="84" t="n"/>
      <c r="N75" s="21" t="n"/>
      <c r="O75" s="82" t="n"/>
      <c r="P75" s="85" t="n"/>
      <c r="Q75" s="85" t="n"/>
      <c r="R75" s="85" t="n"/>
      <c r="S75" s="21">
        <f>IF(OR(Q75="",R75=""),"",Q75*R75)</f>
        <v/>
      </c>
      <c r="T75" s="21">
        <f>IF(S75="","",INDEX(Settings!$A$20:$A$23,MATCH(S75,Settings!$B$20:$B$23,1)))</f>
        <v/>
      </c>
      <c r="U75" s="82" t="n"/>
      <c r="V75" s="86" t="n"/>
      <c r="W75" s="85" t="n"/>
      <c r="X75" s="82" t="n"/>
      <c r="Y75" s="87" t="n"/>
      <c r="Z75" s="87" t="n"/>
      <c r="AA75" s="87" t="n"/>
      <c r="AB75" s="87" t="n"/>
      <c r="AC75" s="87" t="n"/>
      <c r="AD75" s="87" t="n"/>
      <c r="AE75" s="87" t="n"/>
      <c r="AF75" s="87" t="n"/>
      <c r="AG75" s="87" t="n"/>
      <c r="AH75" s="87" t="n"/>
      <c r="AI75" s="87" t="n"/>
      <c r="AJ75" s="88" t="n"/>
      <c r="AK75" s="87" t="n"/>
      <c r="AL75" s="87" t="n"/>
      <c r="AM75" s="87" t="n"/>
      <c r="AN75" s="87" t="n"/>
      <c r="AO75" s="87" t="n"/>
      <c r="AP75" s="87" t="n"/>
      <c r="AQ75" s="88" t="n"/>
      <c r="AR75" s="88" t="n"/>
      <c r="AS75" s="85" t="n"/>
      <c r="AT75" s="85" t="n"/>
      <c r="AU75" s="21">
        <f>IF(OR(AS75="",AT75=""),"",AS75*AT75)</f>
        <v/>
      </c>
      <c r="AV75" s="21">
        <f>IF(AU75="","",INDEX(Settings!$A$20:$A$23,MATCH(AU75,Settings!$B$20:$B$23,1)))</f>
        <v/>
      </c>
      <c r="AW75" s="21">
        <f>IF(AV75&lt;&gt;"",AV75,T75)</f>
        <v/>
      </c>
      <c r="AX75" s="21">
        <f>IF(AW75="","",IF(MATCH(AW75,Settings!$A$20:$A$23,0)&lt;=MATCH(Settings!$C$28,Settings!$A$20:$A$23,0),"Yes","No"))</f>
        <v/>
      </c>
      <c r="AY75" s="81">
        <f>IF(AW75="","",IF(AX75="Yes",INDEX(Settings!$G$20:$G$23,MATCH(AW75,Settings!$A$20:$A$23,0)),INDEX(Settings!$G$20:$G$23,MATCH(AW75,Settings!$A$20:$A$23,0))&amp;" (outside appetite)"))</f>
        <v/>
      </c>
      <c r="AZ75" s="82" t="n"/>
      <c r="BA75" s="82" t="n"/>
      <c r="BB75" s="89" t="n"/>
      <c r="BC75" s="90">
        <f>IF(OR(BB75="",T75=""),"",BB75+INDEX(Settings!$E$20:$E$23,MATCH(T75,Settings!$A$20:$A$23,0)))</f>
        <v/>
      </c>
      <c r="BD75" s="89" t="n"/>
      <c r="BE75" s="82" t="n"/>
      <c r="BF75" s="81">
        <f>IF(A75="","",IF(OR(BE75="Closed",BE75="Accepted"),"No action",IF(BB75="","Set date identified",IF(TODAY()&gt;BC75,"Deadline exceeded",IF(BC75-TODAY()&lt;=Settings!$C$30,"Deadline approaching","On track")))))</f>
        <v/>
      </c>
      <c r="BG75" s="89" t="n"/>
      <c r="BH75" s="89" t="n"/>
      <c r="BI75" s="90">
        <f>IF(OR(BH75="",AW75=""),"",EDATE(BH75,INDEX(Settings!$F$20:$F$23,MATCH(AW75,Settings!$A$20:$A$23,0))))</f>
        <v/>
      </c>
      <c r="BJ75" s="21">
        <f>IF(T75="","",IF(MAX(IF(T75="",0,MATCH(T75,Settings!$A$20:$A$23,0)),IF(AV75="",0,MATCH(AV75,Settings!$A$20:$A$23,0)))&gt;=MATCH(Settings!$C$29,Settings!$A$20:$A$23,0),"Yes","No"))</f>
        <v/>
      </c>
      <c r="BK75" s="82" t="n"/>
      <c r="BL75" s="81">
        <f>IF(A75="","",IF(TRIM(IF(W75="","Treatment not chosen. ","")&amp;IF(AND(W75="Accept",AX75="No"),"Accepted outside appetite: record approval by "&amp;INDEX(Settings!$G$20:$G$23,MATCH(AW75,Settings!$A$20:$A$23,0))&amp;". ","")&amp;IF(AND(W75="Accept",BG75=""),"Acceptance expiry missing. ","")&amp;IF(AND(BG75&lt;&gt;"",BG75&lt;TODAY()),"Acceptance expired. ","")&amp;IF(AND(W75&lt;&gt;"",W75&lt;&gt;"Accept",AV75=""),"Target rating not set. ","")&amp;IF(AND(BE75="Closed",AX75="No"),"Closed while outside appetite. ","")&amp;IF(AND(W75="Transfer",BE75&lt;&gt;"Transferred",BE75&lt;&gt;"Closed"),"Transfer: record the contract, SLA and audit rights. ","")&amp;IF(AZ75="","Risk owner missing. ","")&amp;IF(K75="","Scenario not written. ",""))="","OK",TRIM(IF(W75="","Treatment not chosen. ","")&amp;IF(AND(W75="Accept",AX75="No"),"Accepted outside appetite: record approval by "&amp;INDEX(Settings!$G$20:$G$23,MATCH(AW75,Settings!$A$20:$A$23,0))&amp;". ","")&amp;IF(AND(W75="Accept",BG75=""),"Acceptance expiry missing. ","")&amp;IF(AND(BG75&lt;&gt;"",BG75&lt;TODAY()),"Acceptance expired. ","")&amp;IF(AND(W75&lt;&gt;"",W75&lt;&gt;"Accept",AV75=""),"Target rating not set. ","")&amp;IF(AND(BE75="Closed",AX75="No"),"Closed while outside appetite. ","")&amp;IF(AND(W75="Transfer",BE75&lt;&gt;"Transferred",BE75&lt;&gt;"Closed"),"Transfer: record the contract, SLA and audit rights. ","")&amp;IF(AZ75="","Risk owner missing. ","")&amp;IF(K75="","Scenario not written. ",""))))</f>
        <v/>
      </c>
      <c r="BM75" s="82" t="n"/>
    </row>
    <row r="76">
      <c r="A76" s="94" t="n"/>
      <c r="B76" s="93" t="n"/>
      <c r="C76" s="80" t="n"/>
      <c r="D76" s="81">
        <f>IF(C76="","",IFERROR(INDEX(Lists!$O$2:$O$13,MATCH(C76,Lists!$N$2:$N$13,0)),"Check domain code"))</f>
        <v/>
      </c>
      <c r="E76" s="81">
        <f>IF(C76="","",IFERROR(INDEX(Lists!$P$2:$P$13,MATCH(C76,Lists!$N$2:$N$13,0)),""))</f>
        <v/>
      </c>
      <c r="F76" s="80" t="n"/>
      <c r="G76" s="82" t="n"/>
      <c r="H76" s="82" t="n"/>
      <c r="I76" s="82" t="n"/>
      <c r="J76" s="93" t="n"/>
      <c r="K76" s="82" t="n"/>
      <c r="L76" s="82" t="n"/>
      <c r="M76" s="94" t="n"/>
      <c r="N76" s="21" t="n"/>
      <c r="O76" s="82" t="n"/>
      <c r="P76" s="85" t="n"/>
      <c r="Q76" s="85" t="n"/>
      <c r="R76" s="85" t="n"/>
      <c r="S76" s="21">
        <f>IF(OR(Q76="",R76=""),"",Q76*R76)</f>
        <v/>
      </c>
      <c r="T76" s="21">
        <f>IF(S76="","",INDEX(Settings!$A$20:$A$23,MATCH(S76,Settings!$B$20:$B$23,1)))</f>
        <v/>
      </c>
      <c r="U76" s="82" t="n"/>
      <c r="V76" s="86" t="n"/>
      <c r="W76" s="85" t="n"/>
      <c r="X76" s="82" t="n"/>
      <c r="Y76" s="95" t="n"/>
      <c r="Z76" s="95" t="n"/>
      <c r="AA76" s="95" t="n"/>
      <c r="AB76" s="95" t="n"/>
      <c r="AC76" s="95" t="n"/>
      <c r="AD76" s="95" t="n"/>
      <c r="AE76" s="95" t="n"/>
      <c r="AF76" s="95" t="n"/>
      <c r="AG76" s="95" t="n"/>
      <c r="AH76" s="95" t="n"/>
      <c r="AI76" s="95" t="n"/>
      <c r="AJ76" s="96" t="n"/>
      <c r="AK76" s="95" t="n"/>
      <c r="AL76" s="95" t="n"/>
      <c r="AM76" s="95" t="n"/>
      <c r="AN76" s="95" t="n"/>
      <c r="AO76" s="95" t="n"/>
      <c r="AP76" s="95" t="n"/>
      <c r="AQ76" s="96" t="n"/>
      <c r="AR76" s="96" t="n"/>
      <c r="AS76" s="85" t="n"/>
      <c r="AT76" s="85" t="n"/>
      <c r="AU76" s="21">
        <f>IF(OR(AS76="",AT76=""),"",AS76*AT76)</f>
        <v/>
      </c>
      <c r="AV76" s="21">
        <f>IF(AU76="","",INDEX(Settings!$A$20:$A$23,MATCH(AU76,Settings!$B$20:$B$23,1)))</f>
        <v/>
      </c>
      <c r="AW76" s="21">
        <f>IF(AV76&lt;&gt;"",AV76,T76)</f>
        <v/>
      </c>
      <c r="AX76" s="21">
        <f>IF(AW76="","",IF(MATCH(AW76,Settings!$A$20:$A$23,0)&lt;=MATCH(Settings!$C$28,Settings!$A$20:$A$23,0),"Yes","No"))</f>
        <v/>
      </c>
      <c r="AY76" s="81">
        <f>IF(AW76="","",IF(AX76="Yes",INDEX(Settings!$G$20:$G$23,MATCH(AW76,Settings!$A$20:$A$23,0)),INDEX(Settings!$G$20:$G$23,MATCH(AW76,Settings!$A$20:$A$23,0))&amp;" (outside appetite)"))</f>
        <v/>
      </c>
      <c r="AZ76" s="82" t="n"/>
      <c r="BA76" s="82" t="n"/>
      <c r="BB76" s="89" t="n"/>
      <c r="BC76" s="90">
        <f>IF(OR(BB76="",T76=""),"",BB76+INDEX(Settings!$E$20:$E$23,MATCH(T76,Settings!$A$20:$A$23,0)))</f>
        <v/>
      </c>
      <c r="BD76" s="89" t="n"/>
      <c r="BE76" s="82" t="n"/>
      <c r="BF76" s="81">
        <f>IF(A76="","",IF(OR(BE76="Closed",BE76="Accepted"),"No action",IF(BB76="","Set date identified",IF(TODAY()&gt;BC76,"Deadline exceeded",IF(BC76-TODAY()&lt;=Settings!$C$30,"Deadline approaching","On track")))))</f>
        <v/>
      </c>
      <c r="BG76" s="89" t="n"/>
      <c r="BH76" s="89" t="n"/>
      <c r="BI76" s="90">
        <f>IF(OR(BH76="",AW76=""),"",EDATE(BH76,INDEX(Settings!$F$20:$F$23,MATCH(AW76,Settings!$A$20:$A$23,0))))</f>
        <v/>
      </c>
      <c r="BJ76" s="21">
        <f>IF(T76="","",IF(MAX(IF(T76="",0,MATCH(T76,Settings!$A$20:$A$23,0)),IF(AV76="",0,MATCH(AV76,Settings!$A$20:$A$23,0)))&gt;=MATCH(Settings!$C$29,Settings!$A$20:$A$23,0),"Yes","No"))</f>
        <v/>
      </c>
      <c r="BK76" s="82" t="n"/>
      <c r="BL76" s="81">
        <f>IF(A76="","",IF(TRIM(IF(W76="","Treatment not chosen. ","")&amp;IF(AND(W76="Accept",AX76="No"),"Accepted outside appetite: record approval by "&amp;INDEX(Settings!$G$20:$G$23,MATCH(AW76,Settings!$A$20:$A$23,0))&amp;". ","")&amp;IF(AND(W76="Accept",BG76=""),"Acceptance expiry missing. ","")&amp;IF(AND(BG76&lt;&gt;"",BG76&lt;TODAY()),"Acceptance expired. ","")&amp;IF(AND(W76&lt;&gt;"",W76&lt;&gt;"Accept",AV76=""),"Target rating not set. ","")&amp;IF(AND(BE76="Closed",AX76="No"),"Closed while outside appetite. ","")&amp;IF(AND(W76="Transfer",BE76&lt;&gt;"Transferred",BE76&lt;&gt;"Closed"),"Transfer: record the contract, SLA and audit rights. ","")&amp;IF(AZ76="","Risk owner missing. ","")&amp;IF(K76="","Scenario not written. ",""))="","OK",TRIM(IF(W76="","Treatment not chosen. ","")&amp;IF(AND(W76="Accept",AX76="No"),"Accepted outside appetite: record approval by "&amp;INDEX(Settings!$G$20:$G$23,MATCH(AW76,Settings!$A$20:$A$23,0))&amp;". ","")&amp;IF(AND(W76="Accept",BG76=""),"Acceptance expiry missing. ","")&amp;IF(AND(BG76&lt;&gt;"",BG76&lt;TODAY()),"Acceptance expired. ","")&amp;IF(AND(W76&lt;&gt;"",W76&lt;&gt;"Accept",AV76=""),"Target rating not set. ","")&amp;IF(AND(BE76="Closed",AX76="No"),"Closed while outside appetite. ","")&amp;IF(AND(W76="Transfer",BE76&lt;&gt;"Transferred",BE76&lt;&gt;"Closed"),"Transfer: record the contract, SLA and audit rights. ","")&amp;IF(AZ76="","Risk owner missing. ","")&amp;IF(K76="","Scenario not written. ",""))))</f>
        <v/>
      </c>
      <c r="BM76" s="82" t="n"/>
    </row>
    <row r="77">
      <c r="A77" s="84" t="n"/>
      <c r="B77" s="83" t="n"/>
      <c r="C77" s="80" t="n"/>
      <c r="D77" s="81">
        <f>IF(C77="","",IFERROR(INDEX(Lists!$O$2:$O$13,MATCH(C77,Lists!$N$2:$N$13,0)),"Check domain code"))</f>
        <v/>
      </c>
      <c r="E77" s="81">
        <f>IF(C77="","",IFERROR(INDEX(Lists!$P$2:$P$13,MATCH(C77,Lists!$N$2:$N$13,0)),""))</f>
        <v/>
      </c>
      <c r="F77" s="80" t="n"/>
      <c r="G77" s="82" t="n"/>
      <c r="H77" s="82" t="n"/>
      <c r="I77" s="82" t="n"/>
      <c r="J77" s="83" t="n"/>
      <c r="K77" s="82" t="n"/>
      <c r="L77" s="82" t="n"/>
      <c r="M77" s="84" t="n"/>
      <c r="N77" s="21" t="n"/>
      <c r="O77" s="82" t="n"/>
      <c r="P77" s="85" t="n"/>
      <c r="Q77" s="85" t="n"/>
      <c r="R77" s="85" t="n"/>
      <c r="S77" s="21">
        <f>IF(OR(Q77="",R77=""),"",Q77*R77)</f>
        <v/>
      </c>
      <c r="T77" s="21">
        <f>IF(S77="","",INDEX(Settings!$A$20:$A$23,MATCH(S77,Settings!$B$20:$B$23,1)))</f>
        <v/>
      </c>
      <c r="U77" s="82" t="n"/>
      <c r="V77" s="86" t="n"/>
      <c r="W77" s="85" t="n"/>
      <c r="X77" s="82" t="n"/>
      <c r="Y77" s="87" t="n"/>
      <c r="Z77" s="87" t="n"/>
      <c r="AA77" s="87" t="n"/>
      <c r="AB77" s="87" t="n"/>
      <c r="AC77" s="87" t="n"/>
      <c r="AD77" s="87" t="n"/>
      <c r="AE77" s="87" t="n"/>
      <c r="AF77" s="87" t="n"/>
      <c r="AG77" s="87" t="n"/>
      <c r="AH77" s="87" t="n"/>
      <c r="AI77" s="87" t="n"/>
      <c r="AJ77" s="88" t="n"/>
      <c r="AK77" s="87" t="n"/>
      <c r="AL77" s="87" t="n"/>
      <c r="AM77" s="87" t="n"/>
      <c r="AN77" s="87" t="n"/>
      <c r="AO77" s="87" t="n"/>
      <c r="AP77" s="87" t="n"/>
      <c r="AQ77" s="88" t="n"/>
      <c r="AR77" s="88" t="n"/>
      <c r="AS77" s="85" t="n"/>
      <c r="AT77" s="85" t="n"/>
      <c r="AU77" s="21">
        <f>IF(OR(AS77="",AT77=""),"",AS77*AT77)</f>
        <v/>
      </c>
      <c r="AV77" s="21">
        <f>IF(AU77="","",INDEX(Settings!$A$20:$A$23,MATCH(AU77,Settings!$B$20:$B$23,1)))</f>
        <v/>
      </c>
      <c r="AW77" s="21">
        <f>IF(AV77&lt;&gt;"",AV77,T77)</f>
        <v/>
      </c>
      <c r="AX77" s="21">
        <f>IF(AW77="","",IF(MATCH(AW77,Settings!$A$20:$A$23,0)&lt;=MATCH(Settings!$C$28,Settings!$A$20:$A$23,0),"Yes","No"))</f>
        <v/>
      </c>
      <c r="AY77" s="81">
        <f>IF(AW77="","",IF(AX77="Yes",INDEX(Settings!$G$20:$G$23,MATCH(AW77,Settings!$A$20:$A$23,0)),INDEX(Settings!$G$20:$G$23,MATCH(AW77,Settings!$A$20:$A$23,0))&amp;" (outside appetite)"))</f>
        <v/>
      </c>
      <c r="AZ77" s="82" t="n"/>
      <c r="BA77" s="82" t="n"/>
      <c r="BB77" s="89" t="n"/>
      <c r="BC77" s="90">
        <f>IF(OR(BB77="",T77=""),"",BB77+INDEX(Settings!$E$20:$E$23,MATCH(T77,Settings!$A$20:$A$23,0)))</f>
        <v/>
      </c>
      <c r="BD77" s="89" t="n"/>
      <c r="BE77" s="82" t="n"/>
      <c r="BF77" s="81">
        <f>IF(A77="","",IF(OR(BE77="Closed",BE77="Accepted"),"No action",IF(BB77="","Set date identified",IF(TODAY()&gt;BC77,"Deadline exceeded",IF(BC77-TODAY()&lt;=Settings!$C$30,"Deadline approaching","On track")))))</f>
        <v/>
      </c>
      <c r="BG77" s="89" t="n"/>
      <c r="BH77" s="89" t="n"/>
      <c r="BI77" s="90">
        <f>IF(OR(BH77="",AW77=""),"",EDATE(BH77,INDEX(Settings!$F$20:$F$23,MATCH(AW77,Settings!$A$20:$A$23,0))))</f>
        <v/>
      </c>
      <c r="BJ77" s="21">
        <f>IF(T77="","",IF(MAX(IF(T77="",0,MATCH(T77,Settings!$A$20:$A$23,0)),IF(AV77="",0,MATCH(AV77,Settings!$A$20:$A$23,0)))&gt;=MATCH(Settings!$C$29,Settings!$A$20:$A$23,0),"Yes","No"))</f>
        <v/>
      </c>
      <c r="BK77" s="82" t="n"/>
      <c r="BL77" s="81">
        <f>IF(A77="","",IF(TRIM(IF(W77="","Treatment not chosen. ","")&amp;IF(AND(W77="Accept",AX77="No"),"Accepted outside appetite: record approval by "&amp;INDEX(Settings!$G$20:$G$23,MATCH(AW77,Settings!$A$20:$A$23,0))&amp;". ","")&amp;IF(AND(W77="Accept",BG77=""),"Acceptance expiry missing. ","")&amp;IF(AND(BG77&lt;&gt;"",BG77&lt;TODAY()),"Acceptance expired. ","")&amp;IF(AND(W77&lt;&gt;"",W77&lt;&gt;"Accept",AV77=""),"Target rating not set. ","")&amp;IF(AND(BE77="Closed",AX77="No"),"Closed while outside appetite. ","")&amp;IF(AND(W77="Transfer",BE77&lt;&gt;"Transferred",BE77&lt;&gt;"Closed"),"Transfer: record the contract, SLA and audit rights. ","")&amp;IF(AZ77="","Risk owner missing. ","")&amp;IF(K77="","Scenario not written. ",""))="","OK",TRIM(IF(W77="","Treatment not chosen. ","")&amp;IF(AND(W77="Accept",AX77="No"),"Accepted outside appetite: record approval by "&amp;INDEX(Settings!$G$20:$G$23,MATCH(AW77,Settings!$A$20:$A$23,0))&amp;". ","")&amp;IF(AND(W77="Accept",BG77=""),"Acceptance expiry missing. ","")&amp;IF(AND(BG77&lt;&gt;"",BG77&lt;TODAY()),"Acceptance expired. ","")&amp;IF(AND(W77&lt;&gt;"",W77&lt;&gt;"Accept",AV77=""),"Target rating not set. ","")&amp;IF(AND(BE77="Closed",AX77="No"),"Closed while outside appetite. ","")&amp;IF(AND(W77="Transfer",BE77&lt;&gt;"Transferred",BE77&lt;&gt;"Closed"),"Transfer: record the contract, SLA and audit rights. ","")&amp;IF(AZ77="","Risk owner missing. ","")&amp;IF(K77="","Scenario not written. ",""))))</f>
        <v/>
      </c>
      <c r="BM77" s="82" t="n"/>
    </row>
    <row r="78">
      <c r="A78" s="94" t="n"/>
      <c r="B78" s="93" t="n"/>
      <c r="C78" s="80" t="n"/>
      <c r="D78" s="81">
        <f>IF(C78="","",IFERROR(INDEX(Lists!$O$2:$O$13,MATCH(C78,Lists!$N$2:$N$13,0)),"Check domain code"))</f>
        <v/>
      </c>
      <c r="E78" s="81">
        <f>IF(C78="","",IFERROR(INDEX(Lists!$P$2:$P$13,MATCH(C78,Lists!$N$2:$N$13,0)),""))</f>
        <v/>
      </c>
      <c r="F78" s="80" t="n"/>
      <c r="G78" s="82" t="n"/>
      <c r="H78" s="82" t="n"/>
      <c r="I78" s="82" t="n"/>
      <c r="J78" s="93" t="n"/>
      <c r="K78" s="82" t="n"/>
      <c r="L78" s="82" t="n"/>
      <c r="M78" s="94" t="n"/>
      <c r="N78" s="21" t="n"/>
      <c r="O78" s="82" t="n"/>
      <c r="P78" s="85" t="n"/>
      <c r="Q78" s="85" t="n"/>
      <c r="R78" s="85" t="n"/>
      <c r="S78" s="21">
        <f>IF(OR(Q78="",R78=""),"",Q78*R78)</f>
        <v/>
      </c>
      <c r="T78" s="21">
        <f>IF(S78="","",INDEX(Settings!$A$20:$A$23,MATCH(S78,Settings!$B$20:$B$23,1)))</f>
        <v/>
      </c>
      <c r="U78" s="82" t="n"/>
      <c r="V78" s="86" t="n"/>
      <c r="W78" s="85" t="n"/>
      <c r="X78" s="82" t="n"/>
      <c r="Y78" s="95" t="n"/>
      <c r="Z78" s="95" t="n"/>
      <c r="AA78" s="95" t="n"/>
      <c r="AB78" s="95" t="n"/>
      <c r="AC78" s="95" t="n"/>
      <c r="AD78" s="95" t="n"/>
      <c r="AE78" s="95" t="n"/>
      <c r="AF78" s="95" t="n"/>
      <c r="AG78" s="95" t="n"/>
      <c r="AH78" s="95" t="n"/>
      <c r="AI78" s="95" t="n"/>
      <c r="AJ78" s="96" t="n"/>
      <c r="AK78" s="95" t="n"/>
      <c r="AL78" s="95" t="n"/>
      <c r="AM78" s="95" t="n"/>
      <c r="AN78" s="95" t="n"/>
      <c r="AO78" s="95" t="n"/>
      <c r="AP78" s="95" t="n"/>
      <c r="AQ78" s="96" t="n"/>
      <c r="AR78" s="96" t="n"/>
      <c r="AS78" s="85" t="n"/>
      <c r="AT78" s="85" t="n"/>
      <c r="AU78" s="21">
        <f>IF(OR(AS78="",AT78=""),"",AS78*AT78)</f>
        <v/>
      </c>
      <c r="AV78" s="21">
        <f>IF(AU78="","",INDEX(Settings!$A$20:$A$23,MATCH(AU78,Settings!$B$20:$B$23,1)))</f>
        <v/>
      </c>
      <c r="AW78" s="21">
        <f>IF(AV78&lt;&gt;"",AV78,T78)</f>
        <v/>
      </c>
      <c r="AX78" s="21">
        <f>IF(AW78="","",IF(MATCH(AW78,Settings!$A$20:$A$23,0)&lt;=MATCH(Settings!$C$28,Settings!$A$20:$A$23,0),"Yes","No"))</f>
        <v/>
      </c>
      <c r="AY78" s="81">
        <f>IF(AW78="","",IF(AX78="Yes",INDEX(Settings!$G$20:$G$23,MATCH(AW78,Settings!$A$20:$A$23,0)),INDEX(Settings!$G$20:$G$23,MATCH(AW78,Settings!$A$20:$A$23,0))&amp;" (outside appetite)"))</f>
        <v/>
      </c>
      <c r="AZ78" s="82" t="n"/>
      <c r="BA78" s="82" t="n"/>
      <c r="BB78" s="89" t="n"/>
      <c r="BC78" s="90">
        <f>IF(OR(BB78="",T78=""),"",BB78+INDEX(Settings!$E$20:$E$23,MATCH(T78,Settings!$A$20:$A$23,0)))</f>
        <v/>
      </c>
      <c r="BD78" s="89" t="n"/>
      <c r="BE78" s="82" t="n"/>
      <c r="BF78" s="81">
        <f>IF(A78="","",IF(OR(BE78="Closed",BE78="Accepted"),"No action",IF(BB78="","Set date identified",IF(TODAY()&gt;BC78,"Deadline exceeded",IF(BC78-TODAY()&lt;=Settings!$C$30,"Deadline approaching","On track")))))</f>
        <v/>
      </c>
      <c r="BG78" s="89" t="n"/>
      <c r="BH78" s="89" t="n"/>
      <c r="BI78" s="90">
        <f>IF(OR(BH78="",AW78=""),"",EDATE(BH78,INDEX(Settings!$F$20:$F$23,MATCH(AW78,Settings!$A$20:$A$23,0))))</f>
        <v/>
      </c>
      <c r="BJ78" s="21">
        <f>IF(T78="","",IF(MAX(IF(T78="",0,MATCH(T78,Settings!$A$20:$A$23,0)),IF(AV78="",0,MATCH(AV78,Settings!$A$20:$A$23,0)))&gt;=MATCH(Settings!$C$29,Settings!$A$20:$A$23,0),"Yes","No"))</f>
        <v/>
      </c>
      <c r="BK78" s="82" t="n"/>
      <c r="BL78" s="81">
        <f>IF(A78="","",IF(TRIM(IF(W78="","Treatment not chosen. ","")&amp;IF(AND(W78="Accept",AX78="No"),"Accepted outside appetite: record approval by "&amp;INDEX(Settings!$G$20:$G$23,MATCH(AW78,Settings!$A$20:$A$23,0))&amp;". ","")&amp;IF(AND(W78="Accept",BG78=""),"Acceptance expiry missing. ","")&amp;IF(AND(BG78&lt;&gt;"",BG78&lt;TODAY()),"Acceptance expired. ","")&amp;IF(AND(W78&lt;&gt;"",W78&lt;&gt;"Accept",AV78=""),"Target rating not set. ","")&amp;IF(AND(BE78="Closed",AX78="No"),"Closed while outside appetite. ","")&amp;IF(AND(W78="Transfer",BE78&lt;&gt;"Transferred",BE78&lt;&gt;"Closed"),"Transfer: record the contract, SLA and audit rights. ","")&amp;IF(AZ78="","Risk owner missing. ","")&amp;IF(K78="","Scenario not written. ",""))="","OK",TRIM(IF(W78="","Treatment not chosen. ","")&amp;IF(AND(W78="Accept",AX78="No"),"Accepted outside appetite: record approval by "&amp;INDEX(Settings!$G$20:$G$23,MATCH(AW78,Settings!$A$20:$A$23,0))&amp;". ","")&amp;IF(AND(W78="Accept",BG78=""),"Acceptance expiry missing. ","")&amp;IF(AND(BG78&lt;&gt;"",BG78&lt;TODAY()),"Acceptance expired. ","")&amp;IF(AND(W78&lt;&gt;"",W78&lt;&gt;"Accept",AV78=""),"Target rating not set. ","")&amp;IF(AND(BE78="Closed",AX78="No"),"Closed while outside appetite. ","")&amp;IF(AND(W78="Transfer",BE78&lt;&gt;"Transferred",BE78&lt;&gt;"Closed"),"Transfer: record the contract, SLA and audit rights. ","")&amp;IF(AZ78="","Risk owner missing. ","")&amp;IF(K78="","Scenario not written. ",""))))</f>
        <v/>
      </c>
      <c r="BM78" s="82" t="n"/>
    </row>
    <row r="79">
      <c r="A79" s="84" t="n"/>
      <c r="B79" s="83" t="n"/>
      <c r="C79" s="80" t="n"/>
      <c r="D79" s="81">
        <f>IF(C79="","",IFERROR(INDEX(Lists!$O$2:$O$13,MATCH(C79,Lists!$N$2:$N$13,0)),"Check domain code"))</f>
        <v/>
      </c>
      <c r="E79" s="81">
        <f>IF(C79="","",IFERROR(INDEX(Lists!$P$2:$P$13,MATCH(C79,Lists!$N$2:$N$13,0)),""))</f>
        <v/>
      </c>
      <c r="F79" s="80" t="n"/>
      <c r="G79" s="82" t="n"/>
      <c r="H79" s="82" t="n"/>
      <c r="I79" s="82" t="n"/>
      <c r="J79" s="83" t="n"/>
      <c r="K79" s="82" t="n"/>
      <c r="L79" s="82" t="n"/>
      <c r="M79" s="84" t="n"/>
      <c r="N79" s="21" t="n"/>
      <c r="O79" s="82" t="n"/>
      <c r="P79" s="85" t="n"/>
      <c r="Q79" s="85" t="n"/>
      <c r="R79" s="85" t="n"/>
      <c r="S79" s="21">
        <f>IF(OR(Q79="",R79=""),"",Q79*R79)</f>
        <v/>
      </c>
      <c r="T79" s="21">
        <f>IF(S79="","",INDEX(Settings!$A$20:$A$23,MATCH(S79,Settings!$B$20:$B$23,1)))</f>
        <v/>
      </c>
      <c r="U79" s="82" t="n"/>
      <c r="V79" s="86" t="n"/>
      <c r="W79" s="85" t="n"/>
      <c r="X79" s="82" t="n"/>
      <c r="Y79" s="87" t="n"/>
      <c r="Z79" s="87" t="n"/>
      <c r="AA79" s="87" t="n"/>
      <c r="AB79" s="87" t="n"/>
      <c r="AC79" s="87" t="n"/>
      <c r="AD79" s="87" t="n"/>
      <c r="AE79" s="87" t="n"/>
      <c r="AF79" s="87" t="n"/>
      <c r="AG79" s="87" t="n"/>
      <c r="AH79" s="87" t="n"/>
      <c r="AI79" s="87" t="n"/>
      <c r="AJ79" s="88" t="n"/>
      <c r="AK79" s="87" t="n"/>
      <c r="AL79" s="87" t="n"/>
      <c r="AM79" s="87" t="n"/>
      <c r="AN79" s="87" t="n"/>
      <c r="AO79" s="87" t="n"/>
      <c r="AP79" s="87" t="n"/>
      <c r="AQ79" s="88" t="n"/>
      <c r="AR79" s="88" t="n"/>
      <c r="AS79" s="85" t="n"/>
      <c r="AT79" s="85" t="n"/>
      <c r="AU79" s="21">
        <f>IF(OR(AS79="",AT79=""),"",AS79*AT79)</f>
        <v/>
      </c>
      <c r="AV79" s="21">
        <f>IF(AU79="","",INDEX(Settings!$A$20:$A$23,MATCH(AU79,Settings!$B$20:$B$23,1)))</f>
        <v/>
      </c>
      <c r="AW79" s="21">
        <f>IF(AV79&lt;&gt;"",AV79,T79)</f>
        <v/>
      </c>
      <c r="AX79" s="21">
        <f>IF(AW79="","",IF(MATCH(AW79,Settings!$A$20:$A$23,0)&lt;=MATCH(Settings!$C$28,Settings!$A$20:$A$23,0),"Yes","No"))</f>
        <v/>
      </c>
      <c r="AY79" s="81">
        <f>IF(AW79="","",IF(AX79="Yes",INDEX(Settings!$G$20:$G$23,MATCH(AW79,Settings!$A$20:$A$23,0)),INDEX(Settings!$G$20:$G$23,MATCH(AW79,Settings!$A$20:$A$23,0))&amp;" (outside appetite)"))</f>
        <v/>
      </c>
      <c r="AZ79" s="82" t="n"/>
      <c r="BA79" s="82" t="n"/>
      <c r="BB79" s="89" t="n"/>
      <c r="BC79" s="90">
        <f>IF(OR(BB79="",T79=""),"",BB79+INDEX(Settings!$E$20:$E$23,MATCH(T79,Settings!$A$20:$A$23,0)))</f>
        <v/>
      </c>
      <c r="BD79" s="89" t="n"/>
      <c r="BE79" s="82" t="n"/>
      <c r="BF79" s="81">
        <f>IF(A79="","",IF(OR(BE79="Closed",BE79="Accepted"),"No action",IF(BB79="","Set date identified",IF(TODAY()&gt;BC79,"Deadline exceeded",IF(BC79-TODAY()&lt;=Settings!$C$30,"Deadline approaching","On track")))))</f>
        <v/>
      </c>
      <c r="BG79" s="89" t="n"/>
      <c r="BH79" s="89" t="n"/>
      <c r="BI79" s="90">
        <f>IF(OR(BH79="",AW79=""),"",EDATE(BH79,INDEX(Settings!$F$20:$F$23,MATCH(AW79,Settings!$A$20:$A$23,0))))</f>
        <v/>
      </c>
      <c r="BJ79" s="21">
        <f>IF(T79="","",IF(MAX(IF(T79="",0,MATCH(T79,Settings!$A$20:$A$23,0)),IF(AV79="",0,MATCH(AV79,Settings!$A$20:$A$23,0)))&gt;=MATCH(Settings!$C$29,Settings!$A$20:$A$23,0),"Yes","No"))</f>
        <v/>
      </c>
      <c r="BK79" s="82" t="n"/>
      <c r="BL79" s="81">
        <f>IF(A79="","",IF(TRIM(IF(W79="","Treatment not chosen. ","")&amp;IF(AND(W79="Accept",AX79="No"),"Accepted outside appetite: record approval by "&amp;INDEX(Settings!$G$20:$G$23,MATCH(AW79,Settings!$A$20:$A$23,0))&amp;". ","")&amp;IF(AND(W79="Accept",BG79=""),"Acceptance expiry missing. ","")&amp;IF(AND(BG79&lt;&gt;"",BG79&lt;TODAY()),"Acceptance expired. ","")&amp;IF(AND(W79&lt;&gt;"",W79&lt;&gt;"Accept",AV79=""),"Target rating not set. ","")&amp;IF(AND(BE79="Closed",AX79="No"),"Closed while outside appetite. ","")&amp;IF(AND(W79="Transfer",BE79&lt;&gt;"Transferred",BE79&lt;&gt;"Closed"),"Transfer: record the contract, SLA and audit rights. ","")&amp;IF(AZ79="","Risk owner missing. ","")&amp;IF(K79="","Scenario not written. ",""))="","OK",TRIM(IF(W79="","Treatment not chosen. ","")&amp;IF(AND(W79="Accept",AX79="No"),"Accepted outside appetite: record approval by "&amp;INDEX(Settings!$G$20:$G$23,MATCH(AW79,Settings!$A$20:$A$23,0))&amp;". ","")&amp;IF(AND(W79="Accept",BG79=""),"Acceptance expiry missing. ","")&amp;IF(AND(BG79&lt;&gt;"",BG79&lt;TODAY()),"Acceptance expired. ","")&amp;IF(AND(W79&lt;&gt;"",W79&lt;&gt;"Accept",AV79=""),"Target rating not set. ","")&amp;IF(AND(BE79="Closed",AX79="No"),"Closed while outside appetite. ","")&amp;IF(AND(W79="Transfer",BE79&lt;&gt;"Transferred",BE79&lt;&gt;"Closed"),"Transfer: record the contract, SLA and audit rights. ","")&amp;IF(AZ79="","Risk owner missing. ","")&amp;IF(K79="","Scenario not written. ",""))))</f>
        <v/>
      </c>
      <c r="BM79" s="82" t="n"/>
    </row>
    <row r="80">
      <c r="A80" s="94" t="n"/>
      <c r="B80" s="93" t="n"/>
      <c r="C80" s="80" t="n"/>
      <c r="D80" s="81">
        <f>IF(C80="","",IFERROR(INDEX(Lists!$O$2:$O$13,MATCH(C80,Lists!$N$2:$N$13,0)),"Check domain code"))</f>
        <v/>
      </c>
      <c r="E80" s="81">
        <f>IF(C80="","",IFERROR(INDEX(Lists!$P$2:$P$13,MATCH(C80,Lists!$N$2:$N$13,0)),""))</f>
        <v/>
      </c>
      <c r="F80" s="80" t="n"/>
      <c r="G80" s="82" t="n"/>
      <c r="H80" s="82" t="n"/>
      <c r="I80" s="82" t="n"/>
      <c r="J80" s="93" t="n"/>
      <c r="K80" s="82" t="n"/>
      <c r="L80" s="82" t="n"/>
      <c r="M80" s="94" t="n"/>
      <c r="N80" s="21" t="n"/>
      <c r="O80" s="82" t="n"/>
      <c r="P80" s="85" t="n"/>
      <c r="Q80" s="85" t="n"/>
      <c r="R80" s="85" t="n"/>
      <c r="S80" s="21">
        <f>IF(OR(Q80="",R80=""),"",Q80*R80)</f>
        <v/>
      </c>
      <c r="T80" s="21">
        <f>IF(S80="","",INDEX(Settings!$A$20:$A$23,MATCH(S80,Settings!$B$20:$B$23,1)))</f>
        <v/>
      </c>
      <c r="U80" s="82" t="n"/>
      <c r="V80" s="86" t="n"/>
      <c r="W80" s="85" t="n"/>
      <c r="X80" s="82" t="n"/>
      <c r="Y80" s="95" t="n"/>
      <c r="Z80" s="95" t="n"/>
      <c r="AA80" s="95" t="n"/>
      <c r="AB80" s="95" t="n"/>
      <c r="AC80" s="95" t="n"/>
      <c r="AD80" s="95" t="n"/>
      <c r="AE80" s="95" t="n"/>
      <c r="AF80" s="95" t="n"/>
      <c r="AG80" s="95" t="n"/>
      <c r="AH80" s="95" t="n"/>
      <c r="AI80" s="95" t="n"/>
      <c r="AJ80" s="96" t="n"/>
      <c r="AK80" s="95" t="n"/>
      <c r="AL80" s="95" t="n"/>
      <c r="AM80" s="95" t="n"/>
      <c r="AN80" s="95" t="n"/>
      <c r="AO80" s="95" t="n"/>
      <c r="AP80" s="95" t="n"/>
      <c r="AQ80" s="96" t="n"/>
      <c r="AR80" s="96" t="n"/>
      <c r="AS80" s="85" t="n"/>
      <c r="AT80" s="85" t="n"/>
      <c r="AU80" s="21">
        <f>IF(OR(AS80="",AT80=""),"",AS80*AT80)</f>
        <v/>
      </c>
      <c r="AV80" s="21">
        <f>IF(AU80="","",INDEX(Settings!$A$20:$A$23,MATCH(AU80,Settings!$B$20:$B$23,1)))</f>
        <v/>
      </c>
      <c r="AW80" s="21">
        <f>IF(AV80&lt;&gt;"",AV80,T80)</f>
        <v/>
      </c>
      <c r="AX80" s="21">
        <f>IF(AW80="","",IF(MATCH(AW80,Settings!$A$20:$A$23,0)&lt;=MATCH(Settings!$C$28,Settings!$A$20:$A$23,0),"Yes","No"))</f>
        <v/>
      </c>
      <c r="AY80" s="81">
        <f>IF(AW80="","",IF(AX80="Yes",INDEX(Settings!$G$20:$G$23,MATCH(AW80,Settings!$A$20:$A$23,0)),INDEX(Settings!$G$20:$G$23,MATCH(AW80,Settings!$A$20:$A$23,0))&amp;" (outside appetite)"))</f>
        <v/>
      </c>
      <c r="AZ80" s="82" t="n"/>
      <c r="BA80" s="82" t="n"/>
      <c r="BB80" s="89" t="n"/>
      <c r="BC80" s="90">
        <f>IF(OR(BB80="",T80=""),"",BB80+INDEX(Settings!$E$20:$E$23,MATCH(T80,Settings!$A$20:$A$23,0)))</f>
        <v/>
      </c>
      <c r="BD80" s="89" t="n"/>
      <c r="BE80" s="82" t="n"/>
      <c r="BF80" s="81">
        <f>IF(A80="","",IF(OR(BE80="Closed",BE80="Accepted"),"No action",IF(BB80="","Set date identified",IF(TODAY()&gt;BC80,"Deadline exceeded",IF(BC80-TODAY()&lt;=Settings!$C$30,"Deadline approaching","On track")))))</f>
        <v/>
      </c>
      <c r="BG80" s="89" t="n"/>
      <c r="BH80" s="89" t="n"/>
      <c r="BI80" s="90">
        <f>IF(OR(BH80="",AW80=""),"",EDATE(BH80,INDEX(Settings!$F$20:$F$23,MATCH(AW80,Settings!$A$20:$A$23,0))))</f>
        <v/>
      </c>
      <c r="BJ80" s="21">
        <f>IF(T80="","",IF(MAX(IF(T80="",0,MATCH(T80,Settings!$A$20:$A$23,0)),IF(AV80="",0,MATCH(AV80,Settings!$A$20:$A$23,0)))&gt;=MATCH(Settings!$C$29,Settings!$A$20:$A$23,0),"Yes","No"))</f>
        <v/>
      </c>
      <c r="BK80" s="82" t="n"/>
      <c r="BL80" s="81">
        <f>IF(A80="","",IF(TRIM(IF(W80="","Treatment not chosen. ","")&amp;IF(AND(W80="Accept",AX80="No"),"Accepted outside appetite: record approval by "&amp;INDEX(Settings!$G$20:$G$23,MATCH(AW80,Settings!$A$20:$A$23,0))&amp;". ","")&amp;IF(AND(W80="Accept",BG80=""),"Acceptance expiry missing. ","")&amp;IF(AND(BG80&lt;&gt;"",BG80&lt;TODAY()),"Acceptance expired. ","")&amp;IF(AND(W80&lt;&gt;"",W80&lt;&gt;"Accept",AV80=""),"Target rating not set. ","")&amp;IF(AND(BE80="Closed",AX80="No"),"Closed while outside appetite. ","")&amp;IF(AND(W80="Transfer",BE80&lt;&gt;"Transferred",BE80&lt;&gt;"Closed"),"Transfer: record the contract, SLA and audit rights. ","")&amp;IF(AZ80="","Risk owner missing. ","")&amp;IF(K80="","Scenario not written. ",""))="","OK",TRIM(IF(W80="","Treatment not chosen. ","")&amp;IF(AND(W80="Accept",AX80="No"),"Accepted outside appetite: record approval by "&amp;INDEX(Settings!$G$20:$G$23,MATCH(AW80,Settings!$A$20:$A$23,0))&amp;". ","")&amp;IF(AND(W80="Accept",BG80=""),"Acceptance expiry missing. ","")&amp;IF(AND(BG80&lt;&gt;"",BG80&lt;TODAY()),"Acceptance expired. ","")&amp;IF(AND(W80&lt;&gt;"",W80&lt;&gt;"Accept",AV80=""),"Target rating not set. ","")&amp;IF(AND(BE80="Closed",AX80="No"),"Closed while outside appetite. ","")&amp;IF(AND(W80="Transfer",BE80&lt;&gt;"Transferred",BE80&lt;&gt;"Closed"),"Transfer: record the contract, SLA and audit rights. ","")&amp;IF(AZ80="","Risk owner missing. ","")&amp;IF(K80="","Scenario not written. ",""))))</f>
        <v/>
      </c>
      <c r="BM80" s="82" t="n"/>
    </row>
    <row r="81">
      <c r="A81" s="84" t="n"/>
      <c r="B81" s="83" t="n"/>
      <c r="C81" s="80" t="n"/>
      <c r="D81" s="81">
        <f>IF(C81="","",IFERROR(INDEX(Lists!$O$2:$O$13,MATCH(C81,Lists!$N$2:$N$13,0)),"Check domain code"))</f>
        <v/>
      </c>
      <c r="E81" s="81">
        <f>IF(C81="","",IFERROR(INDEX(Lists!$P$2:$P$13,MATCH(C81,Lists!$N$2:$N$13,0)),""))</f>
        <v/>
      </c>
      <c r="F81" s="80" t="n"/>
      <c r="G81" s="82" t="n"/>
      <c r="H81" s="82" t="n"/>
      <c r="I81" s="82" t="n"/>
      <c r="J81" s="83" t="n"/>
      <c r="K81" s="82" t="n"/>
      <c r="L81" s="82" t="n"/>
      <c r="M81" s="84" t="n"/>
      <c r="N81" s="21" t="n"/>
      <c r="O81" s="82" t="n"/>
      <c r="P81" s="85" t="n"/>
      <c r="Q81" s="85" t="n"/>
      <c r="R81" s="85" t="n"/>
      <c r="S81" s="21">
        <f>IF(OR(Q81="",R81=""),"",Q81*R81)</f>
        <v/>
      </c>
      <c r="T81" s="21">
        <f>IF(S81="","",INDEX(Settings!$A$20:$A$23,MATCH(S81,Settings!$B$20:$B$23,1)))</f>
        <v/>
      </c>
      <c r="U81" s="82" t="n"/>
      <c r="V81" s="86" t="n"/>
      <c r="W81" s="85" t="n"/>
      <c r="X81" s="82" t="n"/>
      <c r="Y81" s="87" t="n"/>
      <c r="Z81" s="87" t="n"/>
      <c r="AA81" s="87" t="n"/>
      <c r="AB81" s="87" t="n"/>
      <c r="AC81" s="87" t="n"/>
      <c r="AD81" s="87" t="n"/>
      <c r="AE81" s="87" t="n"/>
      <c r="AF81" s="87" t="n"/>
      <c r="AG81" s="87" t="n"/>
      <c r="AH81" s="87" t="n"/>
      <c r="AI81" s="87" t="n"/>
      <c r="AJ81" s="88" t="n"/>
      <c r="AK81" s="87" t="n"/>
      <c r="AL81" s="87" t="n"/>
      <c r="AM81" s="87" t="n"/>
      <c r="AN81" s="87" t="n"/>
      <c r="AO81" s="87" t="n"/>
      <c r="AP81" s="87" t="n"/>
      <c r="AQ81" s="88" t="n"/>
      <c r="AR81" s="88" t="n"/>
      <c r="AS81" s="85" t="n"/>
      <c r="AT81" s="85" t="n"/>
      <c r="AU81" s="21">
        <f>IF(OR(AS81="",AT81=""),"",AS81*AT81)</f>
        <v/>
      </c>
      <c r="AV81" s="21">
        <f>IF(AU81="","",INDEX(Settings!$A$20:$A$23,MATCH(AU81,Settings!$B$20:$B$23,1)))</f>
        <v/>
      </c>
      <c r="AW81" s="21">
        <f>IF(AV81&lt;&gt;"",AV81,T81)</f>
        <v/>
      </c>
      <c r="AX81" s="21">
        <f>IF(AW81="","",IF(MATCH(AW81,Settings!$A$20:$A$23,0)&lt;=MATCH(Settings!$C$28,Settings!$A$20:$A$23,0),"Yes","No"))</f>
        <v/>
      </c>
      <c r="AY81" s="81">
        <f>IF(AW81="","",IF(AX81="Yes",INDEX(Settings!$G$20:$G$23,MATCH(AW81,Settings!$A$20:$A$23,0)),INDEX(Settings!$G$20:$G$23,MATCH(AW81,Settings!$A$20:$A$23,0))&amp;" (outside appetite)"))</f>
        <v/>
      </c>
      <c r="AZ81" s="82" t="n"/>
      <c r="BA81" s="82" t="n"/>
      <c r="BB81" s="89" t="n"/>
      <c r="BC81" s="90">
        <f>IF(OR(BB81="",T81=""),"",BB81+INDEX(Settings!$E$20:$E$23,MATCH(T81,Settings!$A$20:$A$23,0)))</f>
        <v/>
      </c>
      <c r="BD81" s="89" t="n"/>
      <c r="BE81" s="82" t="n"/>
      <c r="BF81" s="81">
        <f>IF(A81="","",IF(OR(BE81="Closed",BE81="Accepted"),"No action",IF(BB81="","Set date identified",IF(TODAY()&gt;BC81,"Deadline exceeded",IF(BC81-TODAY()&lt;=Settings!$C$30,"Deadline approaching","On track")))))</f>
        <v/>
      </c>
      <c r="BG81" s="89" t="n"/>
      <c r="BH81" s="89" t="n"/>
      <c r="BI81" s="90">
        <f>IF(OR(BH81="",AW81=""),"",EDATE(BH81,INDEX(Settings!$F$20:$F$23,MATCH(AW81,Settings!$A$20:$A$23,0))))</f>
        <v/>
      </c>
      <c r="BJ81" s="21">
        <f>IF(T81="","",IF(MAX(IF(T81="",0,MATCH(T81,Settings!$A$20:$A$23,0)),IF(AV81="",0,MATCH(AV81,Settings!$A$20:$A$23,0)))&gt;=MATCH(Settings!$C$29,Settings!$A$20:$A$23,0),"Yes","No"))</f>
        <v/>
      </c>
      <c r="BK81" s="82" t="n"/>
      <c r="BL81" s="81">
        <f>IF(A81="","",IF(TRIM(IF(W81="","Treatment not chosen. ","")&amp;IF(AND(W81="Accept",AX81="No"),"Accepted outside appetite: record approval by "&amp;INDEX(Settings!$G$20:$G$23,MATCH(AW81,Settings!$A$20:$A$23,0))&amp;". ","")&amp;IF(AND(W81="Accept",BG81=""),"Acceptance expiry missing. ","")&amp;IF(AND(BG81&lt;&gt;"",BG81&lt;TODAY()),"Acceptance expired. ","")&amp;IF(AND(W81&lt;&gt;"",W81&lt;&gt;"Accept",AV81=""),"Target rating not set. ","")&amp;IF(AND(BE81="Closed",AX81="No"),"Closed while outside appetite. ","")&amp;IF(AND(W81="Transfer",BE81&lt;&gt;"Transferred",BE81&lt;&gt;"Closed"),"Transfer: record the contract, SLA and audit rights. ","")&amp;IF(AZ81="","Risk owner missing. ","")&amp;IF(K81="","Scenario not written. ",""))="","OK",TRIM(IF(W81="","Treatment not chosen. ","")&amp;IF(AND(W81="Accept",AX81="No"),"Accepted outside appetite: record approval by "&amp;INDEX(Settings!$G$20:$G$23,MATCH(AW81,Settings!$A$20:$A$23,0))&amp;". ","")&amp;IF(AND(W81="Accept",BG81=""),"Acceptance expiry missing. ","")&amp;IF(AND(BG81&lt;&gt;"",BG81&lt;TODAY()),"Acceptance expired. ","")&amp;IF(AND(W81&lt;&gt;"",W81&lt;&gt;"Accept",AV81=""),"Target rating not set. ","")&amp;IF(AND(BE81="Closed",AX81="No"),"Closed while outside appetite. ","")&amp;IF(AND(W81="Transfer",BE81&lt;&gt;"Transferred",BE81&lt;&gt;"Closed"),"Transfer: record the contract, SLA and audit rights. ","")&amp;IF(AZ81="","Risk owner missing. ","")&amp;IF(K81="","Scenario not written. ",""))))</f>
        <v/>
      </c>
      <c r="BM81" s="82" t="n"/>
    </row>
    <row r="82">
      <c r="A82" s="94" t="n"/>
      <c r="B82" s="93" t="n"/>
      <c r="C82" s="80" t="n"/>
      <c r="D82" s="81">
        <f>IF(C82="","",IFERROR(INDEX(Lists!$O$2:$O$13,MATCH(C82,Lists!$N$2:$N$13,0)),"Check domain code"))</f>
        <v/>
      </c>
      <c r="E82" s="81">
        <f>IF(C82="","",IFERROR(INDEX(Lists!$P$2:$P$13,MATCH(C82,Lists!$N$2:$N$13,0)),""))</f>
        <v/>
      </c>
      <c r="F82" s="80" t="n"/>
      <c r="G82" s="82" t="n"/>
      <c r="H82" s="82" t="n"/>
      <c r="I82" s="82" t="n"/>
      <c r="J82" s="93" t="n"/>
      <c r="K82" s="82" t="n"/>
      <c r="L82" s="82" t="n"/>
      <c r="M82" s="94" t="n"/>
      <c r="N82" s="21" t="n"/>
      <c r="O82" s="82" t="n"/>
      <c r="P82" s="85" t="n"/>
      <c r="Q82" s="85" t="n"/>
      <c r="R82" s="85" t="n"/>
      <c r="S82" s="21">
        <f>IF(OR(Q82="",R82=""),"",Q82*R82)</f>
        <v/>
      </c>
      <c r="T82" s="21">
        <f>IF(S82="","",INDEX(Settings!$A$20:$A$23,MATCH(S82,Settings!$B$20:$B$23,1)))</f>
        <v/>
      </c>
      <c r="U82" s="82" t="n"/>
      <c r="V82" s="86" t="n"/>
      <c r="W82" s="85" t="n"/>
      <c r="X82" s="82" t="n"/>
      <c r="Y82" s="95" t="n"/>
      <c r="Z82" s="95" t="n"/>
      <c r="AA82" s="95" t="n"/>
      <c r="AB82" s="95" t="n"/>
      <c r="AC82" s="95" t="n"/>
      <c r="AD82" s="95" t="n"/>
      <c r="AE82" s="95" t="n"/>
      <c r="AF82" s="95" t="n"/>
      <c r="AG82" s="95" t="n"/>
      <c r="AH82" s="95" t="n"/>
      <c r="AI82" s="95" t="n"/>
      <c r="AJ82" s="96" t="n"/>
      <c r="AK82" s="95" t="n"/>
      <c r="AL82" s="95" t="n"/>
      <c r="AM82" s="95" t="n"/>
      <c r="AN82" s="95" t="n"/>
      <c r="AO82" s="95" t="n"/>
      <c r="AP82" s="95" t="n"/>
      <c r="AQ82" s="96" t="n"/>
      <c r="AR82" s="96" t="n"/>
      <c r="AS82" s="85" t="n"/>
      <c r="AT82" s="85" t="n"/>
      <c r="AU82" s="21">
        <f>IF(OR(AS82="",AT82=""),"",AS82*AT82)</f>
        <v/>
      </c>
      <c r="AV82" s="21">
        <f>IF(AU82="","",INDEX(Settings!$A$20:$A$23,MATCH(AU82,Settings!$B$20:$B$23,1)))</f>
        <v/>
      </c>
      <c r="AW82" s="21">
        <f>IF(AV82&lt;&gt;"",AV82,T82)</f>
        <v/>
      </c>
      <c r="AX82" s="21">
        <f>IF(AW82="","",IF(MATCH(AW82,Settings!$A$20:$A$23,0)&lt;=MATCH(Settings!$C$28,Settings!$A$20:$A$23,0),"Yes","No"))</f>
        <v/>
      </c>
      <c r="AY82" s="81">
        <f>IF(AW82="","",IF(AX82="Yes",INDEX(Settings!$G$20:$G$23,MATCH(AW82,Settings!$A$20:$A$23,0)),INDEX(Settings!$G$20:$G$23,MATCH(AW82,Settings!$A$20:$A$23,0))&amp;" (outside appetite)"))</f>
        <v/>
      </c>
      <c r="AZ82" s="82" t="n"/>
      <c r="BA82" s="82" t="n"/>
      <c r="BB82" s="89" t="n"/>
      <c r="BC82" s="90">
        <f>IF(OR(BB82="",T82=""),"",BB82+INDEX(Settings!$E$20:$E$23,MATCH(T82,Settings!$A$20:$A$23,0)))</f>
        <v/>
      </c>
      <c r="BD82" s="89" t="n"/>
      <c r="BE82" s="82" t="n"/>
      <c r="BF82" s="81">
        <f>IF(A82="","",IF(OR(BE82="Closed",BE82="Accepted"),"No action",IF(BB82="","Set date identified",IF(TODAY()&gt;BC82,"Deadline exceeded",IF(BC82-TODAY()&lt;=Settings!$C$30,"Deadline approaching","On track")))))</f>
        <v/>
      </c>
      <c r="BG82" s="89" t="n"/>
      <c r="BH82" s="89" t="n"/>
      <c r="BI82" s="90">
        <f>IF(OR(BH82="",AW82=""),"",EDATE(BH82,INDEX(Settings!$F$20:$F$23,MATCH(AW82,Settings!$A$20:$A$23,0))))</f>
        <v/>
      </c>
      <c r="BJ82" s="21">
        <f>IF(T82="","",IF(MAX(IF(T82="",0,MATCH(T82,Settings!$A$20:$A$23,0)),IF(AV82="",0,MATCH(AV82,Settings!$A$20:$A$23,0)))&gt;=MATCH(Settings!$C$29,Settings!$A$20:$A$23,0),"Yes","No"))</f>
        <v/>
      </c>
      <c r="BK82" s="82" t="n"/>
      <c r="BL82" s="81">
        <f>IF(A82="","",IF(TRIM(IF(W82="","Treatment not chosen. ","")&amp;IF(AND(W82="Accept",AX82="No"),"Accepted outside appetite: record approval by "&amp;INDEX(Settings!$G$20:$G$23,MATCH(AW82,Settings!$A$20:$A$23,0))&amp;". ","")&amp;IF(AND(W82="Accept",BG82=""),"Acceptance expiry missing. ","")&amp;IF(AND(BG82&lt;&gt;"",BG82&lt;TODAY()),"Acceptance expired. ","")&amp;IF(AND(W82&lt;&gt;"",W82&lt;&gt;"Accept",AV82=""),"Target rating not set. ","")&amp;IF(AND(BE82="Closed",AX82="No"),"Closed while outside appetite. ","")&amp;IF(AND(W82="Transfer",BE82&lt;&gt;"Transferred",BE82&lt;&gt;"Closed"),"Transfer: record the contract, SLA and audit rights. ","")&amp;IF(AZ82="","Risk owner missing. ","")&amp;IF(K82="","Scenario not written. ",""))="","OK",TRIM(IF(W82="","Treatment not chosen. ","")&amp;IF(AND(W82="Accept",AX82="No"),"Accepted outside appetite: record approval by "&amp;INDEX(Settings!$G$20:$G$23,MATCH(AW82,Settings!$A$20:$A$23,0))&amp;". ","")&amp;IF(AND(W82="Accept",BG82=""),"Acceptance expiry missing. ","")&amp;IF(AND(BG82&lt;&gt;"",BG82&lt;TODAY()),"Acceptance expired. ","")&amp;IF(AND(W82&lt;&gt;"",W82&lt;&gt;"Accept",AV82=""),"Target rating not set. ","")&amp;IF(AND(BE82="Closed",AX82="No"),"Closed while outside appetite. ","")&amp;IF(AND(W82="Transfer",BE82&lt;&gt;"Transferred",BE82&lt;&gt;"Closed"),"Transfer: record the contract, SLA and audit rights. ","")&amp;IF(AZ82="","Risk owner missing. ","")&amp;IF(K82="","Scenario not written. ",""))))</f>
        <v/>
      </c>
      <c r="BM82" s="82" t="n"/>
    </row>
    <row r="83">
      <c r="A83" s="84" t="n"/>
      <c r="B83" s="83" t="n"/>
      <c r="C83" s="80" t="n"/>
      <c r="D83" s="81">
        <f>IF(C83="","",IFERROR(INDEX(Lists!$O$2:$O$13,MATCH(C83,Lists!$N$2:$N$13,0)),"Check domain code"))</f>
        <v/>
      </c>
      <c r="E83" s="81">
        <f>IF(C83="","",IFERROR(INDEX(Lists!$P$2:$P$13,MATCH(C83,Lists!$N$2:$N$13,0)),""))</f>
        <v/>
      </c>
      <c r="F83" s="80" t="n"/>
      <c r="G83" s="82" t="n"/>
      <c r="H83" s="82" t="n"/>
      <c r="I83" s="82" t="n"/>
      <c r="J83" s="83" t="n"/>
      <c r="K83" s="82" t="n"/>
      <c r="L83" s="82" t="n"/>
      <c r="M83" s="84" t="n"/>
      <c r="N83" s="21" t="n"/>
      <c r="O83" s="82" t="n"/>
      <c r="P83" s="85" t="n"/>
      <c r="Q83" s="85" t="n"/>
      <c r="R83" s="85" t="n"/>
      <c r="S83" s="21">
        <f>IF(OR(Q83="",R83=""),"",Q83*R83)</f>
        <v/>
      </c>
      <c r="T83" s="21">
        <f>IF(S83="","",INDEX(Settings!$A$20:$A$23,MATCH(S83,Settings!$B$20:$B$23,1)))</f>
        <v/>
      </c>
      <c r="U83" s="82" t="n"/>
      <c r="V83" s="86" t="n"/>
      <c r="W83" s="85" t="n"/>
      <c r="X83" s="82" t="n"/>
      <c r="Y83" s="87" t="n"/>
      <c r="Z83" s="87" t="n"/>
      <c r="AA83" s="87" t="n"/>
      <c r="AB83" s="87" t="n"/>
      <c r="AC83" s="87" t="n"/>
      <c r="AD83" s="87" t="n"/>
      <c r="AE83" s="87" t="n"/>
      <c r="AF83" s="87" t="n"/>
      <c r="AG83" s="87" t="n"/>
      <c r="AH83" s="87" t="n"/>
      <c r="AI83" s="87" t="n"/>
      <c r="AJ83" s="88" t="n"/>
      <c r="AK83" s="87" t="n"/>
      <c r="AL83" s="87" t="n"/>
      <c r="AM83" s="87" t="n"/>
      <c r="AN83" s="87" t="n"/>
      <c r="AO83" s="87" t="n"/>
      <c r="AP83" s="87" t="n"/>
      <c r="AQ83" s="88" t="n"/>
      <c r="AR83" s="88" t="n"/>
      <c r="AS83" s="85" t="n"/>
      <c r="AT83" s="85" t="n"/>
      <c r="AU83" s="21">
        <f>IF(OR(AS83="",AT83=""),"",AS83*AT83)</f>
        <v/>
      </c>
      <c r="AV83" s="21">
        <f>IF(AU83="","",INDEX(Settings!$A$20:$A$23,MATCH(AU83,Settings!$B$20:$B$23,1)))</f>
        <v/>
      </c>
      <c r="AW83" s="21">
        <f>IF(AV83&lt;&gt;"",AV83,T83)</f>
        <v/>
      </c>
      <c r="AX83" s="21">
        <f>IF(AW83="","",IF(MATCH(AW83,Settings!$A$20:$A$23,0)&lt;=MATCH(Settings!$C$28,Settings!$A$20:$A$23,0),"Yes","No"))</f>
        <v/>
      </c>
      <c r="AY83" s="81">
        <f>IF(AW83="","",IF(AX83="Yes",INDEX(Settings!$G$20:$G$23,MATCH(AW83,Settings!$A$20:$A$23,0)),INDEX(Settings!$G$20:$G$23,MATCH(AW83,Settings!$A$20:$A$23,0))&amp;" (outside appetite)"))</f>
        <v/>
      </c>
      <c r="AZ83" s="82" t="n"/>
      <c r="BA83" s="82" t="n"/>
      <c r="BB83" s="89" t="n"/>
      <c r="BC83" s="90">
        <f>IF(OR(BB83="",T83=""),"",BB83+INDEX(Settings!$E$20:$E$23,MATCH(T83,Settings!$A$20:$A$23,0)))</f>
        <v/>
      </c>
      <c r="BD83" s="89" t="n"/>
      <c r="BE83" s="82" t="n"/>
      <c r="BF83" s="81">
        <f>IF(A83="","",IF(OR(BE83="Closed",BE83="Accepted"),"No action",IF(BB83="","Set date identified",IF(TODAY()&gt;BC83,"Deadline exceeded",IF(BC83-TODAY()&lt;=Settings!$C$30,"Deadline approaching","On track")))))</f>
        <v/>
      </c>
      <c r="BG83" s="89" t="n"/>
      <c r="BH83" s="89" t="n"/>
      <c r="BI83" s="90">
        <f>IF(OR(BH83="",AW83=""),"",EDATE(BH83,INDEX(Settings!$F$20:$F$23,MATCH(AW83,Settings!$A$20:$A$23,0))))</f>
        <v/>
      </c>
      <c r="BJ83" s="21">
        <f>IF(T83="","",IF(MAX(IF(T83="",0,MATCH(T83,Settings!$A$20:$A$23,0)),IF(AV83="",0,MATCH(AV83,Settings!$A$20:$A$23,0)))&gt;=MATCH(Settings!$C$29,Settings!$A$20:$A$23,0),"Yes","No"))</f>
        <v/>
      </c>
      <c r="BK83" s="82" t="n"/>
      <c r="BL83" s="81">
        <f>IF(A83="","",IF(TRIM(IF(W83="","Treatment not chosen. ","")&amp;IF(AND(W83="Accept",AX83="No"),"Accepted outside appetite: record approval by "&amp;INDEX(Settings!$G$20:$G$23,MATCH(AW83,Settings!$A$20:$A$23,0))&amp;". ","")&amp;IF(AND(W83="Accept",BG83=""),"Acceptance expiry missing. ","")&amp;IF(AND(BG83&lt;&gt;"",BG83&lt;TODAY()),"Acceptance expired. ","")&amp;IF(AND(W83&lt;&gt;"",W83&lt;&gt;"Accept",AV83=""),"Target rating not set. ","")&amp;IF(AND(BE83="Closed",AX83="No"),"Closed while outside appetite. ","")&amp;IF(AND(W83="Transfer",BE83&lt;&gt;"Transferred",BE83&lt;&gt;"Closed"),"Transfer: record the contract, SLA and audit rights. ","")&amp;IF(AZ83="","Risk owner missing. ","")&amp;IF(K83="","Scenario not written. ",""))="","OK",TRIM(IF(W83="","Treatment not chosen. ","")&amp;IF(AND(W83="Accept",AX83="No"),"Accepted outside appetite: record approval by "&amp;INDEX(Settings!$G$20:$G$23,MATCH(AW83,Settings!$A$20:$A$23,0))&amp;". ","")&amp;IF(AND(W83="Accept",BG83=""),"Acceptance expiry missing. ","")&amp;IF(AND(BG83&lt;&gt;"",BG83&lt;TODAY()),"Acceptance expired. ","")&amp;IF(AND(W83&lt;&gt;"",W83&lt;&gt;"Accept",AV83=""),"Target rating not set. ","")&amp;IF(AND(BE83="Closed",AX83="No"),"Closed while outside appetite. ","")&amp;IF(AND(W83="Transfer",BE83&lt;&gt;"Transferred",BE83&lt;&gt;"Closed"),"Transfer: record the contract, SLA and audit rights. ","")&amp;IF(AZ83="","Risk owner missing. ","")&amp;IF(K83="","Scenario not written. ",""))))</f>
        <v/>
      </c>
      <c r="BM83" s="82" t="n"/>
    </row>
    <row r="84">
      <c r="A84" s="94" t="n"/>
      <c r="B84" s="93" t="n"/>
      <c r="C84" s="80" t="n"/>
      <c r="D84" s="81">
        <f>IF(C84="","",IFERROR(INDEX(Lists!$O$2:$O$13,MATCH(C84,Lists!$N$2:$N$13,0)),"Check domain code"))</f>
        <v/>
      </c>
      <c r="E84" s="81">
        <f>IF(C84="","",IFERROR(INDEX(Lists!$P$2:$P$13,MATCH(C84,Lists!$N$2:$N$13,0)),""))</f>
        <v/>
      </c>
      <c r="F84" s="80" t="n"/>
      <c r="G84" s="82" t="n"/>
      <c r="H84" s="82" t="n"/>
      <c r="I84" s="82" t="n"/>
      <c r="J84" s="93" t="n"/>
      <c r="K84" s="82" t="n"/>
      <c r="L84" s="82" t="n"/>
      <c r="M84" s="94" t="n"/>
      <c r="N84" s="21" t="n"/>
      <c r="O84" s="82" t="n"/>
      <c r="P84" s="85" t="n"/>
      <c r="Q84" s="85" t="n"/>
      <c r="R84" s="85" t="n"/>
      <c r="S84" s="21">
        <f>IF(OR(Q84="",R84=""),"",Q84*R84)</f>
        <v/>
      </c>
      <c r="T84" s="21">
        <f>IF(S84="","",INDEX(Settings!$A$20:$A$23,MATCH(S84,Settings!$B$20:$B$23,1)))</f>
        <v/>
      </c>
      <c r="U84" s="82" t="n"/>
      <c r="V84" s="86" t="n"/>
      <c r="W84" s="85" t="n"/>
      <c r="X84" s="82" t="n"/>
      <c r="Y84" s="95" t="n"/>
      <c r="Z84" s="95" t="n"/>
      <c r="AA84" s="95" t="n"/>
      <c r="AB84" s="95" t="n"/>
      <c r="AC84" s="95" t="n"/>
      <c r="AD84" s="95" t="n"/>
      <c r="AE84" s="95" t="n"/>
      <c r="AF84" s="95" t="n"/>
      <c r="AG84" s="95" t="n"/>
      <c r="AH84" s="95" t="n"/>
      <c r="AI84" s="95" t="n"/>
      <c r="AJ84" s="96" t="n"/>
      <c r="AK84" s="95" t="n"/>
      <c r="AL84" s="95" t="n"/>
      <c r="AM84" s="95" t="n"/>
      <c r="AN84" s="95" t="n"/>
      <c r="AO84" s="95" t="n"/>
      <c r="AP84" s="95" t="n"/>
      <c r="AQ84" s="96" t="n"/>
      <c r="AR84" s="96" t="n"/>
      <c r="AS84" s="85" t="n"/>
      <c r="AT84" s="85" t="n"/>
      <c r="AU84" s="21">
        <f>IF(OR(AS84="",AT84=""),"",AS84*AT84)</f>
        <v/>
      </c>
      <c r="AV84" s="21">
        <f>IF(AU84="","",INDEX(Settings!$A$20:$A$23,MATCH(AU84,Settings!$B$20:$B$23,1)))</f>
        <v/>
      </c>
      <c r="AW84" s="21">
        <f>IF(AV84&lt;&gt;"",AV84,T84)</f>
        <v/>
      </c>
      <c r="AX84" s="21">
        <f>IF(AW84="","",IF(MATCH(AW84,Settings!$A$20:$A$23,0)&lt;=MATCH(Settings!$C$28,Settings!$A$20:$A$23,0),"Yes","No"))</f>
        <v/>
      </c>
      <c r="AY84" s="81">
        <f>IF(AW84="","",IF(AX84="Yes",INDEX(Settings!$G$20:$G$23,MATCH(AW84,Settings!$A$20:$A$23,0)),INDEX(Settings!$G$20:$G$23,MATCH(AW84,Settings!$A$20:$A$23,0))&amp;" (outside appetite)"))</f>
        <v/>
      </c>
      <c r="AZ84" s="82" t="n"/>
      <c r="BA84" s="82" t="n"/>
      <c r="BB84" s="89" t="n"/>
      <c r="BC84" s="90">
        <f>IF(OR(BB84="",T84=""),"",BB84+INDEX(Settings!$E$20:$E$23,MATCH(T84,Settings!$A$20:$A$23,0)))</f>
        <v/>
      </c>
      <c r="BD84" s="89" t="n"/>
      <c r="BE84" s="82" t="n"/>
      <c r="BF84" s="81">
        <f>IF(A84="","",IF(OR(BE84="Closed",BE84="Accepted"),"No action",IF(BB84="","Set date identified",IF(TODAY()&gt;BC84,"Deadline exceeded",IF(BC84-TODAY()&lt;=Settings!$C$30,"Deadline approaching","On track")))))</f>
        <v/>
      </c>
      <c r="BG84" s="89" t="n"/>
      <c r="BH84" s="89" t="n"/>
      <c r="BI84" s="90">
        <f>IF(OR(BH84="",AW84=""),"",EDATE(BH84,INDEX(Settings!$F$20:$F$23,MATCH(AW84,Settings!$A$20:$A$23,0))))</f>
        <v/>
      </c>
      <c r="BJ84" s="21">
        <f>IF(T84="","",IF(MAX(IF(T84="",0,MATCH(T84,Settings!$A$20:$A$23,0)),IF(AV84="",0,MATCH(AV84,Settings!$A$20:$A$23,0)))&gt;=MATCH(Settings!$C$29,Settings!$A$20:$A$23,0),"Yes","No"))</f>
        <v/>
      </c>
      <c r="BK84" s="82" t="n"/>
      <c r="BL84" s="81">
        <f>IF(A84="","",IF(TRIM(IF(W84="","Treatment not chosen. ","")&amp;IF(AND(W84="Accept",AX84="No"),"Accepted outside appetite: record approval by "&amp;INDEX(Settings!$G$20:$G$23,MATCH(AW84,Settings!$A$20:$A$23,0))&amp;". ","")&amp;IF(AND(W84="Accept",BG84=""),"Acceptance expiry missing. ","")&amp;IF(AND(BG84&lt;&gt;"",BG84&lt;TODAY()),"Acceptance expired. ","")&amp;IF(AND(W84&lt;&gt;"",W84&lt;&gt;"Accept",AV84=""),"Target rating not set. ","")&amp;IF(AND(BE84="Closed",AX84="No"),"Closed while outside appetite. ","")&amp;IF(AND(W84="Transfer",BE84&lt;&gt;"Transferred",BE84&lt;&gt;"Closed"),"Transfer: record the contract, SLA and audit rights. ","")&amp;IF(AZ84="","Risk owner missing. ","")&amp;IF(K84="","Scenario not written. ",""))="","OK",TRIM(IF(W84="","Treatment not chosen. ","")&amp;IF(AND(W84="Accept",AX84="No"),"Accepted outside appetite: record approval by "&amp;INDEX(Settings!$G$20:$G$23,MATCH(AW84,Settings!$A$20:$A$23,0))&amp;". ","")&amp;IF(AND(W84="Accept",BG84=""),"Acceptance expiry missing. ","")&amp;IF(AND(BG84&lt;&gt;"",BG84&lt;TODAY()),"Acceptance expired. ","")&amp;IF(AND(W84&lt;&gt;"",W84&lt;&gt;"Accept",AV84=""),"Target rating not set. ","")&amp;IF(AND(BE84="Closed",AX84="No"),"Closed while outside appetite. ","")&amp;IF(AND(W84="Transfer",BE84&lt;&gt;"Transferred",BE84&lt;&gt;"Closed"),"Transfer: record the contract, SLA and audit rights. ","")&amp;IF(AZ84="","Risk owner missing. ","")&amp;IF(K84="","Scenario not written. ",""))))</f>
        <v/>
      </c>
      <c r="BM84" s="82" t="n"/>
    </row>
    <row r="85">
      <c r="A85" s="84" t="n"/>
      <c r="B85" s="83" t="n"/>
      <c r="C85" s="80" t="n"/>
      <c r="D85" s="81">
        <f>IF(C85="","",IFERROR(INDEX(Lists!$O$2:$O$13,MATCH(C85,Lists!$N$2:$N$13,0)),"Check domain code"))</f>
        <v/>
      </c>
      <c r="E85" s="81">
        <f>IF(C85="","",IFERROR(INDEX(Lists!$P$2:$P$13,MATCH(C85,Lists!$N$2:$N$13,0)),""))</f>
        <v/>
      </c>
      <c r="F85" s="80" t="n"/>
      <c r="G85" s="82" t="n"/>
      <c r="H85" s="82" t="n"/>
      <c r="I85" s="82" t="n"/>
      <c r="J85" s="83" t="n"/>
      <c r="K85" s="82" t="n"/>
      <c r="L85" s="82" t="n"/>
      <c r="M85" s="84" t="n"/>
      <c r="N85" s="21" t="n"/>
      <c r="O85" s="82" t="n"/>
      <c r="P85" s="85" t="n"/>
      <c r="Q85" s="85" t="n"/>
      <c r="R85" s="85" t="n"/>
      <c r="S85" s="21">
        <f>IF(OR(Q85="",R85=""),"",Q85*R85)</f>
        <v/>
      </c>
      <c r="T85" s="21">
        <f>IF(S85="","",INDEX(Settings!$A$20:$A$23,MATCH(S85,Settings!$B$20:$B$23,1)))</f>
        <v/>
      </c>
      <c r="U85" s="82" t="n"/>
      <c r="V85" s="86" t="n"/>
      <c r="W85" s="85" t="n"/>
      <c r="X85" s="82" t="n"/>
      <c r="Y85" s="87" t="n"/>
      <c r="Z85" s="87" t="n"/>
      <c r="AA85" s="87" t="n"/>
      <c r="AB85" s="87" t="n"/>
      <c r="AC85" s="87" t="n"/>
      <c r="AD85" s="87" t="n"/>
      <c r="AE85" s="87" t="n"/>
      <c r="AF85" s="87" t="n"/>
      <c r="AG85" s="87" t="n"/>
      <c r="AH85" s="87" t="n"/>
      <c r="AI85" s="87" t="n"/>
      <c r="AJ85" s="88" t="n"/>
      <c r="AK85" s="87" t="n"/>
      <c r="AL85" s="87" t="n"/>
      <c r="AM85" s="87" t="n"/>
      <c r="AN85" s="87" t="n"/>
      <c r="AO85" s="87" t="n"/>
      <c r="AP85" s="87" t="n"/>
      <c r="AQ85" s="88" t="n"/>
      <c r="AR85" s="88" t="n"/>
      <c r="AS85" s="85" t="n"/>
      <c r="AT85" s="85" t="n"/>
      <c r="AU85" s="21">
        <f>IF(OR(AS85="",AT85=""),"",AS85*AT85)</f>
        <v/>
      </c>
      <c r="AV85" s="21">
        <f>IF(AU85="","",INDEX(Settings!$A$20:$A$23,MATCH(AU85,Settings!$B$20:$B$23,1)))</f>
        <v/>
      </c>
      <c r="AW85" s="21">
        <f>IF(AV85&lt;&gt;"",AV85,T85)</f>
        <v/>
      </c>
      <c r="AX85" s="21">
        <f>IF(AW85="","",IF(MATCH(AW85,Settings!$A$20:$A$23,0)&lt;=MATCH(Settings!$C$28,Settings!$A$20:$A$23,0),"Yes","No"))</f>
        <v/>
      </c>
      <c r="AY85" s="81">
        <f>IF(AW85="","",IF(AX85="Yes",INDEX(Settings!$G$20:$G$23,MATCH(AW85,Settings!$A$20:$A$23,0)),INDEX(Settings!$G$20:$G$23,MATCH(AW85,Settings!$A$20:$A$23,0))&amp;" (outside appetite)"))</f>
        <v/>
      </c>
      <c r="AZ85" s="82" t="n"/>
      <c r="BA85" s="82" t="n"/>
      <c r="BB85" s="89" t="n"/>
      <c r="BC85" s="90">
        <f>IF(OR(BB85="",T85=""),"",BB85+INDEX(Settings!$E$20:$E$23,MATCH(T85,Settings!$A$20:$A$23,0)))</f>
        <v/>
      </c>
      <c r="BD85" s="89" t="n"/>
      <c r="BE85" s="82" t="n"/>
      <c r="BF85" s="81">
        <f>IF(A85="","",IF(OR(BE85="Closed",BE85="Accepted"),"No action",IF(BB85="","Set date identified",IF(TODAY()&gt;BC85,"Deadline exceeded",IF(BC85-TODAY()&lt;=Settings!$C$30,"Deadline approaching","On track")))))</f>
        <v/>
      </c>
      <c r="BG85" s="89" t="n"/>
      <c r="BH85" s="89" t="n"/>
      <c r="BI85" s="90">
        <f>IF(OR(BH85="",AW85=""),"",EDATE(BH85,INDEX(Settings!$F$20:$F$23,MATCH(AW85,Settings!$A$20:$A$23,0))))</f>
        <v/>
      </c>
      <c r="BJ85" s="21">
        <f>IF(T85="","",IF(MAX(IF(T85="",0,MATCH(T85,Settings!$A$20:$A$23,0)),IF(AV85="",0,MATCH(AV85,Settings!$A$20:$A$23,0)))&gt;=MATCH(Settings!$C$29,Settings!$A$20:$A$23,0),"Yes","No"))</f>
        <v/>
      </c>
      <c r="BK85" s="82" t="n"/>
      <c r="BL85" s="81">
        <f>IF(A85="","",IF(TRIM(IF(W85="","Treatment not chosen. ","")&amp;IF(AND(W85="Accept",AX85="No"),"Accepted outside appetite: record approval by "&amp;INDEX(Settings!$G$20:$G$23,MATCH(AW85,Settings!$A$20:$A$23,0))&amp;". ","")&amp;IF(AND(W85="Accept",BG85=""),"Acceptance expiry missing. ","")&amp;IF(AND(BG85&lt;&gt;"",BG85&lt;TODAY()),"Acceptance expired. ","")&amp;IF(AND(W85&lt;&gt;"",W85&lt;&gt;"Accept",AV85=""),"Target rating not set. ","")&amp;IF(AND(BE85="Closed",AX85="No"),"Closed while outside appetite. ","")&amp;IF(AND(W85="Transfer",BE85&lt;&gt;"Transferred",BE85&lt;&gt;"Closed"),"Transfer: record the contract, SLA and audit rights. ","")&amp;IF(AZ85="","Risk owner missing. ","")&amp;IF(K85="","Scenario not written. ",""))="","OK",TRIM(IF(W85="","Treatment not chosen. ","")&amp;IF(AND(W85="Accept",AX85="No"),"Accepted outside appetite: record approval by "&amp;INDEX(Settings!$G$20:$G$23,MATCH(AW85,Settings!$A$20:$A$23,0))&amp;". ","")&amp;IF(AND(W85="Accept",BG85=""),"Acceptance expiry missing. ","")&amp;IF(AND(BG85&lt;&gt;"",BG85&lt;TODAY()),"Acceptance expired. ","")&amp;IF(AND(W85&lt;&gt;"",W85&lt;&gt;"Accept",AV85=""),"Target rating not set. ","")&amp;IF(AND(BE85="Closed",AX85="No"),"Closed while outside appetite. ","")&amp;IF(AND(W85="Transfer",BE85&lt;&gt;"Transferred",BE85&lt;&gt;"Closed"),"Transfer: record the contract, SLA and audit rights. ","")&amp;IF(AZ85="","Risk owner missing. ","")&amp;IF(K85="","Scenario not written. ",""))))</f>
        <v/>
      </c>
      <c r="BM85" s="82" t="n"/>
    </row>
    <row r="86">
      <c r="A86" s="94" t="n"/>
      <c r="B86" s="93" t="n"/>
      <c r="C86" s="80" t="n"/>
      <c r="D86" s="81">
        <f>IF(C86="","",IFERROR(INDEX(Lists!$O$2:$O$13,MATCH(C86,Lists!$N$2:$N$13,0)),"Check domain code"))</f>
        <v/>
      </c>
      <c r="E86" s="81">
        <f>IF(C86="","",IFERROR(INDEX(Lists!$P$2:$P$13,MATCH(C86,Lists!$N$2:$N$13,0)),""))</f>
        <v/>
      </c>
      <c r="F86" s="80" t="n"/>
      <c r="G86" s="82" t="n"/>
      <c r="H86" s="82" t="n"/>
      <c r="I86" s="82" t="n"/>
      <c r="J86" s="93" t="n"/>
      <c r="K86" s="82" t="n"/>
      <c r="L86" s="82" t="n"/>
      <c r="M86" s="94" t="n"/>
      <c r="N86" s="21" t="n"/>
      <c r="O86" s="82" t="n"/>
      <c r="P86" s="85" t="n"/>
      <c r="Q86" s="85" t="n"/>
      <c r="R86" s="85" t="n"/>
      <c r="S86" s="21">
        <f>IF(OR(Q86="",R86=""),"",Q86*R86)</f>
        <v/>
      </c>
      <c r="T86" s="21">
        <f>IF(S86="","",INDEX(Settings!$A$20:$A$23,MATCH(S86,Settings!$B$20:$B$23,1)))</f>
        <v/>
      </c>
      <c r="U86" s="82" t="n"/>
      <c r="V86" s="86" t="n"/>
      <c r="W86" s="85" t="n"/>
      <c r="X86" s="82" t="n"/>
      <c r="Y86" s="95" t="n"/>
      <c r="Z86" s="95" t="n"/>
      <c r="AA86" s="95" t="n"/>
      <c r="AB86" s="95" t="n"/>
      <c r="AC86" s="95" t="n"/>
      <c r="AD86" s="95" t="n"/>
      <c r="AE86" s="95" t="n"/>
      <c r="AF86" s="95" t="n"/>
      <c r="AG86" s="95" t="n"/>
      <c r="AH86" s="95" t="n"/>
      <c r="AI86" s="95" t="n"/>
      <c r="AJ86" s="96" t="n"/>
      <c r="AK86" s="95" t="n"/>
      <c r="AL86" s="95" t="n"/>
      <c r="AM86" s="95" t="n"/>
      <c r="AN86" s="95" t="n"/>
      <c r="AO86" s="95" t="n"/>
      <c r="AP86" s="95" t="n"/>
      <c r="AQ86" s="96" t="n"/>
      <c r="AR86" s="96" t="n"/>
      <c r="AS86" s="85" t="n"/>
      <c r="AT86" s="85" t="n"/>
      <c r="AU86" s="21">
        <f>IF(OR(AS86="",AT86=""),"",AS86*AT86)</f>
        <v/>
      </c>
      <c r="AV86" s="21">
        <f>IF(AU86="","",INDEX(Settings!$A$20:$A$23,MATCH(AU86,Settings!$B$20:$B$23,1)))</f>
        <v/>
      </c>
      <c r="AW86" s="21">
        <f>IF(AV86&lt;&gt;"",AV86,T86)</f>
        <v/>
      </c>
      <c r="AX86" s="21">
        <f>IF(AW86="","",IF(MATCH(AW86,Settings!$A$20:$A$23,0)&lt;=MATCH(Settings!$C$28,Settings!$A$20:$A$23,0),"Yes","No"))</f>
        <v/>
      </c>
      <c r="AY86" s="81">
        <f>IF(AW86="","",IF(AX86="Yes",INDEX(Settings!$G$20:$G$23,MATCH(AW86,Settings!$A$20:$A$23,0)),INDEX(Settings!$G$20:$G$23,MATCH(AW86,Settings!$A$20:$A$23,0))&amp;" (outside appetite)"))</f>
        <v/>
      </c>
      <c r="AZ86" s="82" t="n"/>
      <c r="BA86" s="82" t="n"/>
      <c r="BB86" s="89" t="n"/>
      <c r="BC86" s="90">
        <f>IF(OR(BB86="",T86=""),"",BB86+INDEX(Settings!$E$20:$E$23,MATCH(T86,Settings!$A$20:$A$23,0)))</f>
        <v/>
      </c>
      <c r="BD86" s="89" t="n"/>
      <c r="BE86" s="82" t="n"/>
      <c r="BF86" s="81">
        <f>IF(A86="","",IF(OR(BE86="Closed",BE86="Accepted"),"No action",IF(BB86="","Set date identified",IF(TODAY()&gt;BC86,"Deadline exceeded",IF(BC86-TODAY()&lt;=Settings!$C$30,"Deadline approaching","On track")))))</f>
        <v/>
      </c>
      <c r="BG86" s="89" t="n"/>
      <c r="BH86" s="89" t="n"/>
      <c r="BI86" s="90">
        <f>IF(OR(BH86="",AW86=""),"",EDATE(BH86,INDEX(Settings!$F$20:$F$23,MATCH(AW86,Settings!$A$20:$A$23,0))))</f>
        <v/>
      </c>
      <c r="BJ86" s="21">
        <f>IF(T86="","",IF(MAX(IF(T86="",0,MATCH(T86,Settings!$A$20:$A$23,0)),IF(AV86="",0,MATCH(AV86,Settings!$A$20:$A$23,0)))&gt;=MATCH(Settings!$C$29,Settings!$A$20:$A$23,0),"Yes","No"))</f>
        <v/>
      </c>
      <c r="BK86" s="82" t="n"/>
      <c r="BL86" s="81">
        <f>IF(A86="","",IF(TRIM(IF(W86="","Treatment not chosen. ","")&amp;IF(AND(W86="Accept",AX86="No"),"Accepted outside appetite: record approval by "&amp;INDEX(Settings!$G$20:$G$23,MATCH(AW86,Settings!$A$20:$A$23,0))&amp;". ","")&amp;IF(AND(W86="Accept",BG86=""),"Acceptance expiry missing. ","")&amp;IF(AND(BG86&lt;&gt;"",BG86&lt;TODAY()),"Acceptance expired. ","")&amp;IF(AND(W86&lt;&gt;"",W86&lt;&gt;"Accept",AV86=""),"Target rating not set. ","")&amp;IF(AND(BE86="Closed",AX86="No"),"Closed while outside appetite. ","")&amp;IF(AND(W86="Transfer",BE86&lt;&gt;"Transferred",BE86&lt;&gt;"Closed"),"Transfer: record the contract, SLA and audit rights. ","")&amp;IF(AZ86="","Risk owner missing. ","")&amp;IF(K86="","Scenario not written. ",""))="","OK",TRIM(IF(W86="","Treatment not chosen. ","")&amp;IF(AND(W86="Accept",AX86="No"),"Accepted outside appetite: record approval by "&amp;INDEX(Settings!$G$20:$G$23,MATCH(AW86,Settings!$A$20:$A$23,0))&amp;". ","")&amp;IF(AND(W86="Accept",BG86=""),"Acceptance expiry missing. ","")&amp;IF(AND(BG86&lt;&gt;"",BG86&lt;TODAY()),"Acceptance expired. ","")&amp;IF(AND(W86&lt;&gt;"",W86&lt;&gt;"Accept",AV86=""),"Target rating not set. ","")&amp;IF(AND(BE86="Closed",AX86="No"),"Closed while outside appetite. ","")&amp;IF(AND(W86="Transfer",BE86&lt;&gt;"Transferred",BE86&lt;&gt;"Closed"),"Transfer: record the contract, SLA and audit rights. ","")&amp;IF(AZ86="","Risk owner missing. ","")&amp;IF(K86="","Scenario not written. ",""))))</f>
        <v/>
      </c>
      <c r="BM86" s="82" t="n"/>
    </row>
    <row r="87">
      <c r="A87" s="84" t="n"/>
      <c r="B87" s="83" t="n"/>
      <c r="C87" s="80" t="n"/>
      <c r="D87" s="81">
        <f>IF(C87="","",IFERROR(INDEX(Lists!$O$2:$O$13,MATCH(C87,Lists!$N$2:$N$13,0)),"Check domain code"))</f>
        <v/>
      </c>
      <c r="E87" s="81">
        <f>IF(C87="","",IFERROR(INDEX(Lists!$P$2:$P$13,MATCH(C87,Lists!$N$2:$N$13,0)),""))</f>
        <v/>
      </c>
      <c r="F87" s="80" t="n"/>
      <c r="G87" s="82" t="n"/>
      <c r="H87" s="82" t="n"/>
      <c r="I87" s="82" t="n"/>
      <c r="J87" s="83" t="n"/>
      <c r="K87" s="82" t="n"/>
      <c r="L87" s="82" t="n"/>
      <c r="M87" s="84" t="n"/>
      <c r="N87" s="21" t="n"/>
      <c r="O87" s="82" t="n"/>
      <c r="P87" s="85" t="n"/>
      <c r="Q87" s="85" t="n"/>
      <c r="R87" s="85" t="n"/>
      <c r="S87" s="21">
        <f>IF(OR(Q87="",R87=""),"",Q87*R87)</f>
        <v/>
      </c>
      <c r="T87" s="21">
        <f>IF(S87="","",INDEX(Settings!$A$20:$A$23,MATCH(S87,Settings!$B$20:$B$23,1)))</f>
        <v/>
      </c>
      <c r="U87" s="82" t="n"/>
      <c r="V87" s="86" t="n"/>
      <c r="W87" s="85" t="n"/>
      <c r="X87" s="82" t="n"/>
      <c r="Y87" s="87" t="n"/>
      <c r="Z87" s="87" t="n"/>
      <c r="AA87" s="87" t="n"/>
      <c r="AB87" s="87" t="n"/>
      <c r="AC87" s="87" t="n"/>
      <c r="AD87" s="87" t="n"/>
      <c r="AE87" s="87" t="n"/>
      <c r="AF87" s="87" t="n"/>
      <c r="AG87" s="87" t="n"/>
      <c r="AH87" s="87" t="n"/>
      <c r="AI87" s="87" t="n"/>
      <c r="AJ87" s="88" t="n"/>
      <c r="AK87" s="87" t="n"/>
      <c r="AL87" s="87" t="n"/>
      <c r="AM87" s="87" t="n"/>
      <c r="AN87" s="87" t="n"/>
      <c r="AO87" s="87" t="n"/>
      <c r="AP87" s="87" t="n"/>
      <c r="AQ87" s="88" t="n"/>
      <c r="AR87" s="88" t="n"/>
      <c r="AS87" s="85" t="n"/>
      <c r="AT87" s="85" t="n"/>
      <c r="AU87" s="21">
        <f>IF(OR(AS87="",AT87=""),"",AS87*AT87)</f>
        <v/>
      </c>
      <c r="AV87" s="21">
        <f>IF(AU87="","",INDEX(Settings!$A$20:$A$23,MATCH(AU87,Settings!$B$20:$B$23,1)))</f>
        <v/>
      </c>
      <c r="AW87" s="21">
        <f>IF(AV87&lt;&gt;"",AV87,T87)</f>
        <v/>
      </c>
      <c r="AX87" s="21">
        <f>IF(AW87="","",IF(MATCH(AW87,Settings!$A$20:$A$23,0)&lt;=MATCH(Settings!$C$28,Settings!$A$20:$A$23,0),"Yes","No"))</f>
        <v/>
      </c>
      <c r="AY87" s="81">
        <f>IF(AW87="","",IF(AX87="Yes",INDEX(Settings!$G$20:$G$23,MATCH(AW87,Settings!$A$20:$A$23,0)),INDEX(Settings!$G$20:$G$23,MATCH(AW87,Settings!$A$20:$A$23,0))&amp;" (outside appetite)"))</f>
        <v/>
      </c>
      <c r="AZ87" s="82" t="n"/>
      <c r="BA87" s="82" t="n"/>
      <c r="BB87" s="89" t="n"/>
      <c r="BC87" s="90">
        <f>IF(OR(BB87="",T87=""),"",BB87+INDEX(Settings!$E$20:$E$23,MATCH(T87,Settings!$A$20:$A$23,0)))</f>
        <v/>
      </c>
      <c r="BD87" s="89" t="n"/>
      <c r="BE87" s="82" t="n"/>
      <c r="BF87" s="81">
        <f>IF(A87="","",IF(OR(BE87="Closed",BE87="Accepted"),"No action",IF(BB87="","Set date identified",IF(TODAY()&gt;BC87,"Deadline exceeded",IF(BC87-TODAY()&lt;=Settings!$C$30,"Deadline approaching","On track")))))</f>
        <v/>
      </c>
      <c r="BG87" s="89" t="n"/>
      <c r="BH87" s="89" t="n"/>
      <c r="BI87" s="90">
        <f>IF(OR(BH87="",AW87=""),"",EDATE(BH87,INDEX(Settings!$F$20:$F$23,MATCH(AW87,Settings!$A$20:$A$23,0))))</f>
        <v/>
      </c>
      <c r="BJ87" s="21">
        <f>IF(T87="","",IF(MAX(IF(T87="",0,MATCH(T87,Settings!$A$20:$A$23,0)),IF(AV87="",0,MATCH(AV87,Settings!$A$20:$A$23,0)))&gt;=MATCH(Settings!$C$29,Settings!$A$20:$A$23,0),"Yes","No"))</f>
        <v/>
      </c>
      <c r="BK87" s="82" t="n"/>
      <c r="BL87" s="81">
        <f>IF(A87="","",IF(TRIM(IF(W87="","Treatment not chosen. ","")&amp;IF(AND(W87="Accept",AX87="No"),"Accepted outside appetite: record approval by "&amp;INDEX(Settings!$G$20:$G$23,MATCH(AW87,Settings!$A$20:$A$23,0))&amp;". ","")&amp;IF(AND(W87="Accept",BG87=""),"Acceptance expiry missing. ","")&amp;IF(AND(BG87&lt;&gt;"",BG87&lt;TODAY()),"Acceptance expired. ","")&amp;IF(AND(W87&lt;&gt;"",W87&lt;&gt;"Accept",AV87=""),"Target rating not set. ","")&amp;IF(AND(BE87="Closed",AX87="No"),"Closed while outside appetite. ","")&amp;IF(AND(W87="Transfer",BE87&lt;&gt;"Transferred",BE87&lt;&gt;"Closed"),"Transfer: record the contract, SLA and audit rights. ","")&amp;IF(AZ87="","Risk owner missing. ","")&amp;IF(K87="","Scenario not written. ",""))="","OK",TRIM(IF(W87="","Treatment not chosen. ","")&amp;IF(AND(W87="Accept",AX87="No"),"Accepted outside appetite: record approval by "&amp;INDEX(Settings!$G$20:$G$23,MATCH(AW87,Settings!$A$20:$A$23,0))&amp;". ","")&amp;IF(AND(W87="Accept",BG87=""),"Acceptance expiry missing. ","")&amp;IF(AND(BG87&lt;&gt;"",BG87&lt;TODAY()),"Acceptance expired. ","")&amp;IF(AND(W87&lt;&gt;"",W87&lt;&gt;"Accept",AV87=""),"Target rating not set. ","")&amp;IF(AND(BE87="Closed",AX87="No"),"Closed while outside appetite. ","")&amp;IF(AND(W87="Transfer",BE87&lt;&gt;"Transferred",BE87&lt;&gt;"Closed"),"Transfer: record the contract, SLA and audit rights. ","")&amp;IF(AZ87="","Risk owner missing. ","")&amp;IF(K87="","Scenario not written. ",""))))</f>
        <v/>
      </c>
      <c r="BM87" s="82" t="n"/>
    </row>
    <row r="88">
      <c r="A88" s="94" t="n"/>
      <c r="B88" s="93" t="n"/>
      <c r="C88" s="80" t="n"/>
      <c r="D88" s="81">
        <f>IF(C88="","",IFERROR(INDEX(Lists!$O$2:$O$13,MATCH(C88,Lists!$N$2:$N$13,0)),"Check domain code"))</f>
        <v/>
      </c>
      <c r="E88" s="81">
        <f>IF(C88="","",IFERROR(INDEX(Lists!$P$2:$P$13,MATCH(C88,Lists!$N$2:$N$13,0)),""))</f>
        <v/>
      </c>
      <c r="F88" s="80" t="n"/>
      <c r="G88" s="82" t="n"/>
      <c r="H88" s="82" t="n"/>
      <c r="I88" s="82" t="n"/>
      <c r="J88" s="93" t="n"/>
      <c r="K88" s="82" t="n"/>
      <c r="L88" s="82" t="n"/>
      <c r="M88" s="94" t="n"/>
      <c r="N88" s="21" t="n"/>
      <c r="O88" s="82" t="n"/>
      <c r="P88" s="85" t="n"/>
      <c r="Q88" s="85" t="n"/>
      <c r="R88" s="85" t="n"/>
      <c r="S88" s="21">
        <f>IF(OR(Q88="",R88=""),"",Q88*R88)</f>
        <v/>
      </c>
      <c r="T88" s="21">
        <f>IF(S88="","",INDEX(Settings!$A$20:$A$23,MATCH(S88,Settings!$B$20:$B$23,1)))</f>
        <v/>
      </c>
      <c r="U88" s="82" t="n"/>
      <c r="V88" s="86" t="n"/>
      <c r="W88" s="85" t="n"/>
      <c r="X88" s="82" t="n"/>
      <c r="Y88" s="95" t="n"/>
      <c r="Z88" s="95" t="n"/>
      <c r="AA88" s="95" t="n"/>
      <c r="AB88" s="95" t="n"/>
      <c r="AC88" s="95" t="n"/>
      <c r="AD88" s="95" t="n"/>
      <c r="AE88" s="95" t="n"/>
      <c r="AF88" s="95" t="n"/>
      <c r="AG88" s="95" t="n"/>
      <c r="AH88" s="95" t="n"/>
      <c r="AI88" s="95" t="n"/>
      <c r="AJ88" s="96" t="n"/>
      <c r="AK88" s="95" t="n"/>
      <c r="AL88" s="95" t="n"/>
      <c r="AM88" s="95" t="n"/>
      <c r="AN88" s="95" t="n"/>
      <c r="AO88" s="95" t="n"/>
      <c r="AP88" s="95" t="n"/>
      <c r="AQ88" s="96" t="n"/>
      <c r="AR88" s="96" t="n"/>
      <c r="AS88" s="85" t="n"/>
      <c r="AT88" s="85" t="n"/>
      <c r="AU88" s="21">
        <f>IF(OR(AS88="",AT88=""),"",AS88*AT88)</f>
        <v/>
      </c>
      <c r="AV88" s="21">
        <f>IF(AU88="","",INDEX(Settings!$A$20:$A$23,MATCH(AU88,Settings!$B$20:$B$23,1)))</f>
        <v/>
      </c>
      <c r="AW88" s="21">
        <f>IF(AV88&lt;&gt;"",AV88,T88)</f>
        <v/>
      </c>
      <c r="AX88" s="21">
        <f>IF(AW88="","",IF(MATCH(AW88,Settings!$A$20:$A$23,0)&lt;=MATCH(Settings!$C$28,Settings!$A$20:$A$23,0),"Yes","No"))</f>
        <v/>
      </c>
      <c r="AY88" s="81">
        <f>IF(AW88="","",IF(AX88="Yes",INDEX(Settings!$G$20:$G$23,MATCH(AW88,Settings!$A$20:$A$23,0)),INDEX(Settings!$G$20:$G$23,MATCH(AW88,Settings!$A$20:$A$23,0))&amp;" (outside appetite)"))</f>
        <v/>
      </c>
      <c r="AZ88" s="82" t="n"/>
      <c r="BA88" s="82" t="n"/>
      <c r="BB88" s="89" t="n"/>
      <c r="BC88" s="90">
        <f>IF(OR(BB88="",T88=""),"",BB88+INDEX(Settings!$E$20:$E$23,MATCH(T88,Settings!$A$20:$A$23,0)))</f>
        <v/>
      </c>
      <c r="BD88" s="89" t="n"/>
      <c r="BE88" s="82" t="n"/>
      <c r="BF88" s="81">
        <f>IF(A88="","",IF(OR(BE88="Closed",BE88="Accepted"),"No action",IF(BB88="","Set date identified",IF(TODAY()&gt;BC88,"Deadline exceeded",IF(BC88-TODAY()&lt;=Settings!$C$30,"Deadline approaching","On track")))))</f>
        <v/>
      </c>
      <c r="BG88" s="89" t="n"/>
      <c r="BH88" s="89" t="n"/>
      <c r="BI88" s="90">
        <f>IF(OR(BH88="",AW88=""),"",EDATE(BH88,INDEX(Settings!$F$20:$F$23,MATCH(AW88,Settings!$A$20:$A$23,0))))</f>
        <v/>
      </c>
      <c r="BJ88" s="21">
        <f>IF(T88="","",IF(MAX(IF(T88="",0,MATCH(T88,Settings!$A$20:$A$23,0)),IF(AV88="",0,MATCH(AV88,Settings!$A$20:$A$23,0)))&gt;=MATCH(Settings!$C$29,Settings!$A$20:$A$23,0),"Yes","No"))</f>
        <v/>
      </c>
      <c r="BK88" s="82" t="n"/>
      <c r="BL88" s="81">
        <f>IF(A88="","",IF(TRIM(IF(W88="","Treatment not chosen. ","")&amp;IF(AND(W88="Accept",AX88="No"),"Accepted outside appetite: record approval by "&amp;INDEX(Settings!$G$20:$G$23,MATCH(AW88,Settings!$A$20:$A$23,0))&amp;". ","")&amp;IF(AND(W88="Accept",BG88=""),"Acceptance expiry missing. ","")&amp;IF(AND(BG88&lt;&gt;"",BG88&lt;TODAY()),"Acceptance expired. ","")&amp;IF(AND(W88&lt;&gt;"",W88&lt;&gt;"Accept",AV88=""),"Target rating not set. ","")&amp;IF(AND(BE88="Closed",AX88="No"),"Closed while outside appetite. ","")&amp;IF(AND(W88="Transfer",BE88&lt;&gt;"Transferred",BE88&lt;&gt;"Closed"),"Transfer: record the contract, SLA and audit rights. ","")&amp;IF(AZ88="","Risk owner missing. ","")&amp;IF(K88="","Scenario not written. ",""))="","OK",TRIM(IF(W88="","Treatment not chosen. ","")&amp;IF(AND(W88="Accept",AX88="No"),"Accepted outside appetite: record approval by "&amp;INDEX(Settings!$G$20:$G$23,MATCH(AW88,Settings!$A$20:$A$23,0))&amp;". ","")&amp;IF(AND(W88="Accept",BG88=""),"Acceptance expiry missing. ","")&amp;IF(AND(BG88&lt;&gt;"",BG88&lt;TODAY()),"Acceptance expired. ","")&amp;IF(AND(W88&lt;&gt;"",W88&lt;&gt;"Accept",AV88=""),"Target rating not set. ","")&amp;IF(AND(BE88="Closed",AX88="No"),"Closed while outside appetite. ","")&amp;IF(AND(W88="Transfer",BE88&lt;&gt;"Transferred",BE88&lt;&gt;"Closed"),"Transfer: record the contract, SLA and audit rights. ","")&amp;IF(AZ88="","Risk owner missing. ","")&amp;IF(K88="","Scenario not written. ",""))))</f>
        <v/>
      </c>
      <c r="BM88" s="82" t="n"/>
    </row>
    <row r="89">
      <c r="A89" s="84" t="n"/>
      <c r="B89" s="83" t="n"/>
      <c r="C89" s="80" t="n"/>
      <c r="D89" s="81">
        <f>IF(C89="","",IFERROR(INDEX(Lists!$O$2:$O$13,MATCH(C89,Lists!$N$2:$N$13,0)),"Check domain code"))</f>
        <v/>
      </c>
      <c r="E89" s="81">
        <f>IF(C89="","",IFERROR(INDEX(Lists!$P$2:$P$13,MATCH(C89,Lists!$N$2:$N$13,0)),""))</f>
        <v/>
      </c>
      <c r="F89" s="80" t="n"/>
      <c r="G89" s="82" t="n"/>
      <c r="H89" s="82" t="n"/>
      <c r="I89" s="82" t="n"/>
      <c r="J89" s="83" t="n"/>
      <c r="K89" s="82" t="n"/>
      <c r="L89" s="82" t="n"/>
      <c r="M89" s="84" t="n"/>
      <c r="N89" s="21" t="n"/>
      <c r="O89" s="82" t="n"/>
      <c r="P89" s="85" t="n"/>
      <c r="Q89" s="85" t="n"/>
      <c r="R89" s="85" t="n"/>
      <c r="S89" s="21">
        <f>IF(OR(Q89="",R89=""),"",Q89*R89)</f>
        <v/>
      </c>
      <c r="T89" s="21">
        <f>IF(S89="","",INDEX(Settings!$A$20:$A$23,MATCH(S89,Settings!$B$20:$B$23,1)))</f>
        <v/>
      </c>
      <c r="U89" s="82" t="n"/>
      <c r="V89" s="86" t="n"/>
      <c r="W89" s="85" t="n"/>
      <c r="X89" s="82" t="n"/>
      <c r="Y89" s="87" t="n"/>
      <c r="Z89" s="87" t="n"/>
      <c r="AA89" s="87" t="n"/>
      <c r="AB89" s="87" t="n"/>
      <c r="AC89" s="87" t="n"/>
      <c r="AD89" s="87" t="n"/>
      <c r="AE89" s="87" t="n"/>
      <c r="AF89" s="87" t="n"/>
      <c r="AG89" s="87" t="n"/>
      <c r="AH89" s="87" t="n"/>
      <c r="AI89" s="87" t="n"/>
      <c r="AJ89" s="88" t="n"/>
      <c r="AK89" s="87" t="n"/>
      <c r="AL89" s="87" t="n"/>
      <c r="AM89" s="87" t="n"/>
      <c r="AN89" s="87" t="n"/>
      <c r="AO89" s="87" t="n"/>
      <c r="AP89" s="87" t="n"/>
      <c r="AQ89" s="88" t="n"/>
      <c r="AR89" s="88" t="n"/>
      <c r="AS89" s="85" t="n"/>
      <c r="AT89" s="85" t="n"/>
      <c r="AU89" s="21">
        <f>IF(OR(AS89="",AT89=""),"",AS89*AT89)</f>
        <v/>
      </c>
      <c r="AV89" s="21">
        <f>IF(AU89="","",INDEX(Settings!$A$20:$A$23,MATCH(AU89,Settings!$B$20:$B$23,1)))</f>
        <v/>
      </c>
      <c r="AW89" s="21">
        <f>IF(AV89&lt;&gt;"",AV89,T89)</f>
        <v/>
      </c>
      <c r="AX89" s="21">
        <f>IF(AW89="","",IF(MATCH(AW89,Settings!$A$20:$A$23,0)&lt;=MATCH(Settings!$C$28,Settings!$A$20:$A$23,0),"Yes","No"))</f>
        <v/>
      </c>
      <c r="AY89" s="81">
        <f>IF(AW89="","",IF(AX89="Yes",INDEX(Settings!$G$20:$G$23,MATCH(AW89,Settings!$A$20:$A$23,0)),INDEX(Settings!$G$20:$G$23,MATCH(AW89,Settings!$A$20:$A$23,0))&amp;" (outside appetite)"))</f>
        <v/>
      </c>
      <c r="AZ89" s="82" t="n"/>
      <c r="BA89" s="82" t="n"/>
      <c r="BB89" s="89" t="n"/>
      <c r="BC89" s="90">
        <f>IF(OR(BB89="",T89=""),"",BB89+INDEX(Settings!$E$20:$E$23,MATCH(T89,Settings!$A$20:$A$23,0)))</f>
        <v/>
      </c>
      <c r="BD89" s="89" t="n"/>
      <c r="BE89" s="82" t="n"/>
      <c r="BF89" s="81">
        <f>IF(A89="","",IF(OR(BE89="Closed",BE89="Accepted"),"No action",IF(BB89="","Set date identified",IF(TODAY()&gt;BC89,"Deadline exceeded",IF(BC89-TODAY()&lt;=Settings!$C$30,"Deadline approaching","On track")))))</f>
        <v/>
      </c>
      <c r="BG89" s="89" t="n"/>
      <c r="BH89" s="89" t="n"/>
      <c r="BI89" s="90">
        <f>IF(OR(BH89="",AW89=""),"",EDATE(BH89,INDEX(Settings!$F$20:$F$23,MATCH(AW89,Settings!$A$20:$A$23,0))))</f>
        <v/>
      </c>
      <c r="BJ89" s="21">
        <f>IF(T89="","",IF(MAX(IF(T89="",0,MATCH(T89,Settings!$A$20:$A$23,0)),IF(AV89="",0,MATCH(AV89,Settings!$A$20:$A$23,0)))&gt;=MATCH(Settings!$C$29,Settings!$A$20:$A$23,0),"Yes","No"))</f>
        <v/>
      </c>
      <c r="BK89" s="82" t="n"/>
      <c r="BL89" s="81">
        <f>IF(A89="","",IF(TRIM(IF(W89="","Treatment not chosen. ","")&amp;IF(AND(W89="Accept",AX89="No"),"Accepted outside appetite: record approval by "&amp;INDEX(Settings!$G$20:$G$23,MATCH(AW89,Settings!$A$20:$A$23,0))&amp;". ","")&amp;IF(AND(W89="Accept",BG89=""),"Acceptance expiry missing. ","")&amp;IF(AND(BG89&lt;&gt;"",BG89&lt;TODAY()),"Acceptance expired. ","")&amp;IF(AND(W89&lt;&gt;"",W89&lt;&gt;"Accept",AV89=""),"Target rating not set. ","")&amp;IF(AND(BE89="Closed",AX89="No"),"Closed while outside appetite. ","")&amp;IF(AND(W89="Transfer",BE89&lt;&gt;"Transferred",BE89&lt;&gt;"Closed"),"Transfer: record the contract, SLA and audit rights. ","")&amp;IF(AZ89="","Risk owner missing. ","")&amp;IF(K89="","Scenario not written. ",""))="","OK",TRIM(IF(W89="","Treatment not chosen. ","")&amp;IF(AND(W89="Accept",AX89="No"),"Accepted outside appetite: record approval by "&amp;INDEX(Settings!$G$20:$G$23,MATCH(AW89,Settings!$A$20:$A$23,0))&amp;". ","")&amp;IF(AND(W89="Accept",BG89=""),"Acceptance expiry missing. ","")&amp;IF(AND(BG89&lt;&gt;"",BG89&lt;TODAY()),"Acceptance expired. ","")&amp;IF(AND(W89&lt;&gt;"",W89&lt;&gt;"Accept",AV89=""),"Target rating not set. ","")&amp;IF(AND(BE89="Closed",AX89="No"),"Closed while outside appetite. ","")&amp;IF(AND(W89="Transfer",BE89&lt;&gt;"Transferred",BE89&lt;&gt;"Closed"),"Transfer: record the contract, SLA and audit rights. ","")&amp;IF(AZ89="","Risk owner missing. ","")&amp;IF(K89="","Scenario not written. ",""))))</f>
        <v/>
      </c>
      <c r="BM89" s="82" t="n"/>
    </row>
    <row r="90">
      <c r="A90" s="94" t="n"/>
      <c r="B90" s="93" t="n"/>
      <c r="C90" s="80" t="n"/>
      <c r="D90" s="81">
        <f>IF(C90="","",IFERROR(INDEX(Lists!$O$2:$O$13,MATCH(C90,Lists!$N$2:$N$13,0)),"Check domain code"))</f>
        <v/>
      </c>
      <c r="E90" s="81">
        <f>IF(C90="","",IFERROR(INDEX(Lists!$P$2:$P$13,MATCH(C90,Lists!$N$2:$N$13,0)),""))</f>
        <v/>
      </c>
      <c r="F90" s="80" t="n"/>
      <c r="G90" s="82" t="n"/>
      <c r="H90" s="82" t="n"/>
      <c r="I90" s="82" t="n"/>
      <c r="J90" s="93" t="n"/>
      <c r="K90" s="82" t="n"/>
      <c r="L90" s="82" t="n"/>
      <c r="M90" s="94" t="n"/>
      <c r="N90" s="21" t="n"/>
      <c r="O90" s="82" t="n"/>
      <c r="P90" s="85" t="n"/>
      <c r="Q90" s="85" t="n"/>
      <c r="R90" s="85" t="n"/>
      <c r="S90" s="21">
        <f>IF(OR(Q90="",R90=""),"",Q90*R90)</f>
        <v/>
      </c>
      <c r="T90" s="21">
        <f>IF(S90="","",INDEX(Settings!$A$20:$A$23,MATCH(S90,Settings!$B$20:$B$23,1)))</f>
        <v/>
      </c>
      <c r="U90" s="82" t="n"/>
      <c r="V90" s="86" t="n"/>
      <c r="W90" s="85" t="n"/>
      <c r="X90" s="82" t="n"/>
      <c r="Y90" s="95" t="n"/>
      <c r="Z90" s="95" t="n"/>
      <c r="AA90" s="95" t="n"/>
      <c r="AB90" s="95" t="n"/>
      <c r="AC90" s="95" t="n"/>
      <c r="AD90" s="95" t="n"/>
      <c r="AE90" s="95" t="n"/>
      <c r="AF90" s="95" t="n"/>
      <c r="AG90" s="95" t="n"/>
      <c r="AH90" s="95" t="n"/>
      <c r="AI90" s="95" t="n"/>
      <c r="AJ90" s="96" t="n"/>
      <c r="AK90" s="95" t="n"/>
      <c r="AL90" s="95" t="n"/>
      <c r="AM90" s="95" t="n"/>
      <c r="AN90" s="95" t="n"/>
      <c r="AO90" s="95" t="n"/>
      <c r="AP90" s="95" t="n"/>
      <c r="AQ90" s="96" t="n"/>
      <c r="AR90" s="96" t="n"/>
      <c r="AS90" s="85" t="n"/>
      <c r="AT90" s="85" t="n"/>
      <c r="AU90" s="21">
        <f>IF(OR(AS90="",AT90=""),"",AS90*AT90)</f>
        <v/>
      </c>
      <c r="AV90" s="21">
        <f>IF(AU90="","",INDEX(Settings!$A$20:$A$23,MATCH(AU90,Settings!$B$20:$B$23,1)))</f>
        <v/>
      </c>
      <c r="AW90" s="21">
        <f>IF(AV90&lt;&gt;"",AV90,T90)</f>
        <v/>
      </c>
      <c r="AX90" s="21">
        <f>IF(AW90="","",IF(MATCH(AW90,Settings!$A$20:$A$23,0)&lt;=MATCH(Settings!$C$28,Settings!$A$20:$A$23,0),"Yes","No"))</f>
        <v/>
      </c>
      <c r="AY90" s="81">
        <f>IF(AW90="","",IF(AX90="Yes",INDEX(Settings!$G$20:$G$23,MATCH(AW90,Settings!$A$20:$A$23,0)),INDEX(Settings!$G$20:$G$23,MATCH(AW90,Settings!$A$20:$A$23,0))&amp;" (outside appetite)"))</f>
        <v/>
      </c>
      <c r="AZ90" s="82" t="n"/>
      <c r="BA90" s="82" t="n"/>
      <c r="BB90" s="89" t="n"/>
      <c r="BC90" s="90">
        <f>IF(OR(BB90="",T90=""),"",BB90+INDEX(Settings!$E$20:$E$23,MATCH(T90,Settings!$A$20:$A$23,0)))</f>
        <v/>
      </c>
      <c r="BD90" s="89" t="n"/>
      <c r="BE90" s="82" t="n"/>
      <c r="BF90" s="81">
        <f>IF(A90="","",IF(OR(BE90="Closed",BE90="Accepted"),"No action",IF(BB90="","Set date identified",IF(TODAY()&gt;BC90,"Deadline exceeded",IF(BC90-TODAY()&lt;=Settings!$C$30,"Deadline approaching","On track")))))</f>
        <v/>
      </c>
      <c r="BG90" s="89" t="n"/>
      <c r="BH90" s="89" t="n"/>
      <c r="BI90" s="90">
        <f>IF(OR(BH90="",AW90=""),"",EDATE(BH90,INDEX(Settings!$F$20:$F$23,MATCH(AW90,Settings!$A$20:$A$23,0))))</f>
        <v/>
      </c>
      <c r="BJ90" s="21">
        <f>IF(T90="","",IF(MAX(IF(T90="",0,MATCH(T90,Settings!$A$20:$A$23,0)),IF(AV90="",0,MATCH(AV90,Settings!$A$20:$A$23,0)))&gt;=MATCH(Settings!$C$29,Settings!$A$20:$A$23,0),"Yes","No"))</f>
        <v/>
      </c>
      <c r="BK90" s="82" t="n"/>
      <c r="BL90" s="81">
        <f>IF(A90="","",IF(TRIM(IF(W90="","Treatment not chosen. ","")&amp;IF(AND(W90="Accept",AX90="No"),"Accepted outside appetite: record approval by "&amp;INDEX(Settings!$G$20:$G$23,MATCH(AW90,Settings!$A$20:$A$23,0))&amp;". ","")&amp;IF(AND(W90="Accept",BG90=""),"Acceptance expiry missing. ","")&amp;IF(AND(BG90&lt;&gt;"",BG90&lt;TODAY()),"Acceptance expired. ","")&amp;IF(AND(W90&lt;&gt;"",W90&lt;&gt;"Accept",AV90=""),"Target rating not set. ","")&amp;IF(AND(BE90="Closed",AX90="No"),"Closed while outside appetite. ","")&amp;IF(AND(W90="Transfer",BE90&lt;&gt;"Transferred",BE90&lt;&gt;"Closed"),"Transfer: record the contract, SLA and audit rights. ","")&amp;IF(AZ90="","Risk owner missing. ","")&amp;IF(K90="","Scenario not written. ",""))="","OK",TRIM(IF(W90="","Treatment not chosen. ","")&amp;IF(AND(W90="Accept",AX90="No"),"Accepted outside appetite: record approval by "&amp;INDEX(Settings!$G$20:$G$23,MATCH(AW90,Settings!$A$20:$A$23,0))&amp;". ","")&amp;IF(AND(W90="Accept",BG90=""),"Acceptance expiry missing. ","")&amp;IF(AND(BG90&lt;&gt;"",BG90&lt;TODAY()),"Acceptance expired. ","")&amp;IF(AND(W90&lt;&gt;"",W90&lt;&gt;"Accept",AV90=""),"Target rating not set. ","")&amp;IF(AND(BE90="Closed",AX90="No"),"Closed while outside appetite. ","")&amp;IF(AND(W90="Transfer",BE90&lt;&gt;"Transferred",BE90&lt;&gt;"Closed"),"Transfer: record the contract, SLA and audit rights. ","")&amp;IF(AZ90="","Risk owner missing. ","")&amp;IF(K90="","Scenario not written. ",""))))</f>
        <v/>
      </c>
      <c r="BM90" s="82" t="n"/>
    </row>
    <row r="91">
      <c r="A91" s="84" t="n"/>
      <c r="B91" s="83" t="n"/>
      <c r="C91" s="80" t="n"/>
      <c r="D91" s="81">
        <f>IF(C91="","",IFERROR(INDEX(Lists!$O$2:$O$13,MATCH(C91,Lists!$N$2:$N$13,0)),"Check domain code"))</f>
        <v/>
      </c>
      <c r="E91" s="81">
        <f>IF(C91="","",IFERROR(INDEX(Lists!$P$2:$P$13,MATCH(C91,Lists!$N$2:$N$13,0)),""))</f>
        <v/>
      </c>
      <c r="F91" s="80" t="n"/>
      <c r="G91" s="82" t="n"/>
      <c r="H91" s="82" t="n"/>
      <c r="I91" s="82" t="n"/>
      <c r="J91" s="83" t="n"/>
      <c r="K91" s="82" t="n"/>
      <c r="L91" s="82" t="n"/>
      <c r="M91" s="84" t="n"/>
      <c r="N91" s="21" t="n"/>
      <c r="O91" s="82" t="n"/>
      <c r="P91" s="85" t="n"/>
      <c r="Q91" s="85" t="n"/>
      <c r="R91" s="85" t="n"/>
      <c r="S91" s="21">
        <f>IF(OR(Q91="",R91=""),"",Q91*R91)</f>
        <v/>
      </c>
      <c r="T91" s="21">
        <f>IF(S91="","",INDEX(Settings!$A$20:$A$23,MATCH(S91,Settings!$B$20:$B$23,1)))</f>
        <v/>
      </c>
      <c r="U91" s="82" t="n"/>
      <c r="V91" s="86" t="n"/>
      <c r="W91" s="85" t="n"/>
      <c r="X91" s="82" t="n"/>
      <c r="Y91" s="87" t="n"/>
      <c r="Z91" s="87" t="n"/>
      <c r="AA91" s="87" t="n"/>
      <c r="AB91" s="87" t="n"/>
      <c r="AC91" s="87" t="n"/>
      <c r="AD91" s="87" t="n"/>
      <c r="AE91" s="87" t="n"/>
      <c r="AF91" s="87" t="n"/>
      <c r="AG91" s="87" t="n"/>
      <c r="AH91" s="87" t="n"/>
      <c r="AI91" s="87" t="n"/>
      <c r="AJ91" s="88" t="n"/>
      <c r="AK91" s="87" t="n"/>
      <c r="AL91" s="87" t="n"/>
      <c r="AM91" s="87" t="n"/>
      <c r="AN91" s="87" t="n"/>
      <c r="AO91" s="87" t="n"/>
      <c r="AP91" s="87" t="n"/>
      <c r="AQ91" s="88" t="n"/>
      <c r="AR91" s="88" t="n"/>
      <c r="AS91" s="85" t="n"/>
      <c r="AT91" s="85" t="n"/>
      <c r="AU91" s="21">
        <f>IF(OR(AS91="",AT91=""),"",AS91*AT91)</f>
        <v/>
      </c>
      <c r="AV91" s="21">
        <f>IF(AU91="","",INDEX(Settings!$A$20:$A$23,MATCH(AU91,Settings!$B$20:$B$23,1)))</f>
        <v/>
      </c>
      <c r="AW91" s="21">
        <f>IF(AV91&lt;&gt;"",AV91,T91)</f>
        <v/>
      </c>
      <c r="AX91" s="21">
        <f>IF(AW91="","",IF(MATCH(AW91,Settings!$A$20:$A$23,0)&lt;=MATCH(Settings!$C$28,Settings!$A$20:$A$23,0),"Yes","No"))</f>
        <v/>
      </c>
      <c r="AY91" s="81">
        <f>IF(AW91="","",IF(AX91="Yes",INDEX(Settings!$G$20:$G$23,MATCH(AW91,Settings!$A$20:$A$23,0)),INDEX(Settings!$G$20:$G$23,MATCH(AW91,Settings!$A$20:$A$23,0))&amp;" (outside appetite)"))</f>
        <v/>
      </c>
      <c r="AZ91" s="82" t="n"/>
      <c r="BA91" s="82" t="n"/>
      <c r="BB91" s="89" t="n"/>
      <c r="BC91" s="90">
        <f>IF(OR(BB91="",T91=""),"",BB91+INDEX(Settings!$E$20:$E$23,MATCH(T91,Settings!$A$20:$A$23,0)))</f>
        <v/>
      </c>
      <c r="BD91" s="89" t="n"/>
      <c r="BE91" s="82" t="n"/>
      <c r="BF91" s="81">
        <f>IF(A91="","",IF(OR(BE91="Closed",BE91="Accepted"),"No action",IF(BB91="","Set date identified",IF(TODAY()&gt;BC91,"Deadline exceeded",IF(BC91-TODAY()&lt;=Settings!$C$30,"Deadline approaching","On track")))))</f>
        <v/>
      </c>
      <c r="BG91" s="89" t="n"/>
      <c r="BH91" s="89" t="n"/>
      <c r="BI91" s="90">
        <f>IF(OR(BH91="",AW91=""),"",EDATE(BH91,INDEX(Settings!$F$20:$F$23,MATCH(AW91,Settings!$A$20:$A$23,0))))</f>
        <v/>
      </c>
      <c r="BJ91" s="21">
        <f>IF(T91="","",IF(MAX(IF(T91="",0,MATCH(T91,Settings!$A$20:$A$23,0)),IF(AV91="",0,MATCH(AV91,Settings!$A$20:$A$23,0)))&gt;=MATCH(Settings!$C$29,Settings!$A$20:$A$23,0),"Yes","No"))</f>
        <v/>
      </c>
      <c r="BK91" s="82" t="n"/>
      <c r="BL91" s="81">
        <f>IF(A91="","",IF(TRIM(IF(W91="","Treatment not chosen. ","")&amp;IF(AND(W91="Accept",AX91="No"),"Accepted outside appetite: record approval by "&amp;INDEX(Settings!$G$20:$G$23,MATCH(AW91,Settings!$A$20:$A$23,0))&amp;". ","")&amp;IF(AND(W91="Accept",BG91=""),"Acceptance expiry missing. ","")&amp;IF(AND(BG91&lt;&gt;"",BG91&lt;TODAY()),"Acceptance expired. ","")&amp;IF(AND(W91&lt;&gt;"",W91&lt;&gt;"Accept",AV91=""),"Target rating not set. ","")&amp;IF(AND(BE91="Closed",AX91="No"),"Closed while outside appetite. ","")&amp;IF(AND(W91="Transfer",BE91&lt;&gt;"Transferred",BE91&lt;&gt;"Closed"),"Transfer: record the contract, SLA and audit rights. ","")&amp;IF(AZ91="","Risk owner missing. ","")&amp;IF(K91="","Scenario not written. ",""))="","OK",TRIM(IF(W91="","Treatment not chosen. ","")&amp;IF(AND(W91="Accept",AX91="No"),"Accepted outside appetite: record approval by "&amp;INDEX(Settings!$G$20:$G$23,MATCH(AW91,Settings!$A$20:$A$23,0))&amp;". ","")&amp;IF(AND(W91="Accept",BG91=""),"Acceptance expiry missing. ","")&amp;IF(AND(BG91&lt;&gt;"",BG91&lt;TODAY()),"Acceptance expired. ","")&amp;IF(AND(W91&lt;&gt;"",W91&lt;&gt;"Accept",AV91=""),"Target rating not set. ","")&amp;IF(AND(BE91="Closed",AX91="No"),"Closed while outside appetite. ","")&amp;IF(AND(W91="Transfer",BE91&lt;&gt;"Transferred",BE91&lt;&gt;"Closed"),"Transfer: record the contract, SLA and audit rights. ","")&amp;IF(AZ91="","Risk owner missing. ","")&amp;IF(K91="","Scenario not written. ",""))))</f>
        <v/>
      </c>
      <c r="BM91" s="82" t="n"/>
    </row>
    <row r="92">
      <c r="A92" s="94" t="n"/>
      <c r="B92" s="93" t="n"/>
      <c r="C92" s="80" t="n"/>
      <c r="D92" s="81">
        <f>IF(C92="","",IFERROR(INDEX(Lists!$O$2:$O$13,MATCH(C92,Lists!$N$2:$N$13,0)),"Check domain code"))</f>
        <v/>
      </c>
      <c r="E92" s="81">
        <f>IF(C92="","",IFERROR(INDEX(Lists!$P$2:$P$13,MATCH(C92,Lists!$N$2:$N$13,0)),""))</f>
        <v/>
      </c>
      <c r="F92" s="80" t="n"/>
      <c r="G92" s="82" t="n"/>
      <c r="H92" s="82" t="n"/>
      <c r="I92" s="82" t="n"/>
      <c r="J92" s="93" t="n"/>
      <c r="K92" s="82" t="n"/>
      <c r="L92" s="82" t="n"/>
      <c r="M92" s="94" t="n"/>
      <c r="N92" s="21" t="n"/>
      <c r="O92" s="82" t="n"/>
      <c r="P92" s="85" t="n"/>
      <c r="Q92" s="85" t="n"/>
      <c r="R92" s="85" t="n"/>
      <c r="S92" s="21">
        <f>IF(OR(Q92="",R92=""),"",Q92*R92)</f>
        <v/>
      </c>
      <c r="T92" s="21">
        <f>IF(S92="","",INDEX(Settings!$A$20:$A$23,MATCH(S92,Settings!$B$20:$B$23,1)))</f>
        <v/>
      </c>
      <c r="U92" s="82" t="n"/>
      <c r="V92" s="86" t="n"/>
      <c r="W92" s="85" t="n"/>
      <c r="X92" s="82" t="n"/>
      <c r="Y92" s="95" t="n"/>
      <c r="Z92" s="95" t="n"/>
      <c r="AA92" s="95" t="n"/>
      <c r="AB92" s="95" t="n"/>
      <c r="AC92" s="95" t="n"/>
      <c r="AD92" s="95" t="n"/>
      <c r="AE92" s="95" t="n"/>
      <c r="AF92" s="95" t="n"/>
      <c r="AG92" s="95" t="n"/>
      <c r="AH92" s="95" t="n"/>
      <c r="AI92" s="95" t="n"/>
      <c r="AJ92" s="96" t="n"/>
      <c r="AK92" s="95" t="n"/>
      <c r="AL92" s="95" t="n"/>
      <c r="AM92" s="95" t="n"/>
      <c r="AN92" s="95" t="n"/>
      <c r="AO92" s="95" t="n"/>
      <c r="AP92" s="95" t="n"/>
      <c r="AQ92" s="96" t="n"/>
      <c r="AR92" s="96" t="n"/>
      <c r="AS92" s="85" t="n"/>
      <c r="AT92" s="85" t="n"/>
      <c r="AU92" s="21">
        <f>IF(OR(AS92="",AT92=""),"",AS92*AT92)</f>
        <v/>
      </c>
      <c r="AV92" s="21">
        <f>IF(AU92="","",INDEX(Settings!$A$20:$A$23,MATCH(AU92,Settings!$B$20:$B$23,1)))</f>
        <v/>
      </c>
      <c r="AW92" s="21">
        <f>IF(AV92&lt;&gt;"",AV92,T92)</f>
        <v/>
      </c>
      <c r="AX92" s="21">
        <f>IF(AW92="","",IF(MATCH(AW92,Settings!$A$20:$A$23,0)&lt;=MATCH(Settings!$C$28,Settings!$A$20:$A$23,0),"Yes","No"))</f>
        <v/>
      </c>
      <c r="AY92" s="81">
        <f>IF(AW92="","",IF(AX92="Yes",INDEX(Settings!$G$20:$G$23,MATCH(AW92,Settings!$A$20:$A$23,0)),INDEX(Settings!$G$20:$G$23,MATCH(AW92,Settings!$A$20:$A$23,0))&amp;" (outside appetite)"))</f>
        <v/>
      </c>
      <c r="AZ92" s="82" t="n"/>
      <c r="BA92" s="82" t="n"/>
      <c r="BB92" s="89" t="n"/>
      <c r="BC92" s="90">
        <f>IF(OR(BB92="",T92=""),"",BB92+INDEX(Settings!$E$20:$E$23,MATCH(T92,Settings!$A$20:$A$23,0)))</f>
        <v/>
      </c>
      <c r="BD92" s="89" t="n"/>
      <c r="BE92" s="82" t="n"/>
      <c r="BF92" s="81">
        <f>IF(A92="","",IF(OR(BE92="Closed",BE92="Accepted"),"No action",IF(BB92="","Set date identified",IF(TODAY()&gt;BC92,"Deadline exceeded",IF(BC92-TODAY()&lt;=Settings!$C$30,"Deadline approaching","On track")))))</f>
        <v/>
      </c>
      <c r="BG92" s="89" t="n"/>
      <c r="BH92" s="89" t="n"/>
      <c r="BI92" s="90">
        <f>IF(OR(BH92="",AW92=""),"",EDATE(BH92,INDEX(Settings!$F$20:$F$23,MATCH(AW92,Settings!$A$20:$A$23,0))))</f>
        <v/>
      </c>
      <c r="BJ92" s="21">
        <f>IF(T92="","",IF(MAX(IF(T92="",0,MATCH(T92,Settings!$A$20:$A$23,0)),IF(AV92="",0,MATCH(AV92,Settings!$A$20:$A$23,0)))&gt;=MATCH(Settings!$C$29,Settings!$A$20:$A$23,0),"Yes","No"))</f>
        <v/>
      </c>
      <c r="BK92" s="82" t="n"/>
      <c r="BL92" s="81">
        <f>IF(A92="","",IF(TRIM(IF(W92="","Treatment not chosen. ","")&amp;IF(AND(W92="Accept",AX92="No"),"Accepted outside appetite: record approval by "&amp;INDEX(Settings!$G$20:$G$23,MATCH(AW92,Settings!$A$20:$A$23,0))&amp;". ","")&amp;IF(AND(W92="Accept",BG92=""),"Acceptance expiry missing. ","")&amp;IF(AND(BG92&lt;&gt;"",BG92&lt;TODAY()),"Acceptance expired. ","")&amp;IF(AND(W92&lt;&gt;"",W92&lt;&gt;"Accept",AV92=""),"Target rating not set. ","")&amp;IF(AND(BE92="Closed",AX92="No"),"Closed while outside appetite. ","")&amp;IF(AND(W92="Transfer",BE92&lt;&gt;"Transferred",BE92&lt;&gt;"Closed"),"Transfer: record the contract, SLA and audit rights. ","")&amp;IF(AZ92="","Risk owner missing. ","")&amp;IF(K92="","Scenario not written. ",""))="","OK",TRIM(IF(W92="","Treatment not chosen. ","")&amp;IF(AND(W92="Accept",AX92="No"),"Accepted outside appetite: record approval by "&amp;INDEX(Settings!$G$20:$G$23,MATCH(AW92,Settings!$A$20:$A$23,0))&amp;". ","")&amp;IF(AND(W92="Accept",BG92=""),"Acceptance expiry missing. ","")&amp;IF(AND(BG92&lt;&gt;"",BG92&lt;TODAY()),"Acceptance expired. ","")&amp;IF(AND(W92&lt;&gt;"",W92&lt;&gt;"Accept",AV92=""),"Target rating not set. ","")&amp;IF(AND(BE92="Closed",AX92="No"),"Closed while outside appetite. ","")&amp;IF(AND(W92="Transfer",BE92&lt;&gt;"Transferred",BE92&lt;&gt;"Closed"),"Transfer: record the contract, SLA and audit rights. ","")&amp;IF(AZ92="","Risk owner missing. ","")&amp;IF(K92="","Scenario not written. ",""))))</f>
        <v/>
      </c>
      <c r="BM92" s="82" t="n"/>
    </row>
    <row r="93">
      <c r="A93" s="84" t="n"/>
      <c r="B93" s="83" t="n"/>
      <c r="C93" s="80" t="n"/>
      <c r="D93" s="81">
        <f>IF(C93="","",IFERROR(INDEX(Lists!$O$2:$O$13,MATCH(C93,Lists!$N$2:$N$13,0)),"Check domain code"))</f>
        <v/>
      </c>
      <c r="E93" s="81">
        <f>IF(C93="","",IFERROR(INDEX(Lists!$P$2:$P$13,MATCH(C93,Lists!$N$2:$N$13,0)),""))</f>
        <v/>
      </c>
      <c r="F93" s="80" t="n"/>
      <c r="G93" s="82" t="n"/>
      <c r="H93" s="82" t="n"/>
      <c r="I93" s="82" t="n"/>
      <c r="J93" s="83" t="n"/>
      <c r="K93" s="82" t="n"/>
      <c r="L93" s="82" t="n"/>
      <c r="M93" s="84" t="n"/>
      <c r="N93" s="21" t="n"/>
      <c r="O93" s="82" t="n"/>
      <c r="P93" s="85" t="n"/>
      <c r="Q93" s="85" t="n"/>
      <c r="R93" s="85" t="n"/>
      <c r="S93" s="21">
        <f>IF(OR(Q93="",R93=""),"",Q93*R93)</f>
        <v/>
      </c>
      <c r="T93" s="21">
        <f>IF(S93="","",INDEX(Settings!$A$20:$A$23,MATCH(S93,Settings!$B$20:$B$23,1)))</f>
        <v/>
      </c>
      <c r="U93" s="82" t="n"/>
      <c r="V93" s="86" t="n"/>
      <c r="W93" s="85" t="n"/>
      <c r="X93" s="82" t="n"/>
      <c r="Y93" s="87" t="n"/>
      <c r="Z93" s="87" t="n"/>
      <c r="AA93" s="87" t="n"/>
      <c r="AB93" s="87" t="n"/>
      <c r="AC93" s="87" t="n"/>
      <c r="AD93" s="87" t="n"/>
      <c r="AE93" s="87" t="n"/>
      <c r="AF93" s="87" t="n"/>
      <c r="AG93" s="87" t="n"/>
      <c r="AH93" s="87" t="n"/>
      <c r="AI93" s="87" t="n"/>
      <c r="AJ93" s="88" t="n"/>
      <c r="AK93" s="87" t="n"/>
      <c r="AL93" s="87" t="n"/>
      <c r="AM93" s="87" t="n"/>
      <c r="AN93" s="87" t="n"/>
      <c r="AO93" s="87" t="n"/>
      <c r="AP93" s="87" t="n"/>
      <c r="AQ93" s="88" t="n"/>
      <c r="AR93" s="88" t="n"/>
      <c r="AS93" s="85" t="n"/>
      <c r="AT93" s="85" t="n"/>
      <c r="AU93" s="21">
        <f>IF(OR(AS93="",AT93=""),"",AS93*AT93)</f>
        <v/>
      </c>
      <c r="AV93" s="21">
        <f>IF(AU93="","",INDEX(Settings!$A$20:$A$23,MATCH(AU93,Settings!$B$20:$B$23,1)))</f>
        <v/>
      </c>
      <c r="AW93" s="21">
        <f>IF(AV93&lt;&gt;"",AV93,T93)</f>
        <v/>
      </c>
      <c r="AX93" s="21">
        <f>IF(AW93="","",IF(MATCH(AW93,Settings!$A$20:$A$23,0)&lt;=MATCH(Settings!$C$28,Settings!$A$20:$A$23,0),"Yes","No"))</f>
        <v/>
      </c>
      <c r="AY93" s="81">
        <f>IF(AW93="","",IF(AX93="Yes",INDEX(Settings!$G$20:$G$23,MATCH(AW93,Settings!$A$20:$A$23,0)),INDEX(Settings!$G$20:$G$23,MATCH(AW93,Settings!$A$20:$A$23,0))&amp;" (outside appetite)"))</f>
        <v/>
      </c>
      <c r="AZ93" s="82" t="n"/>
      <c r="BA93" s="82" t="n"/>
      <c r="BB93" s="89" t="n"/>
      <c r="BC93" s="90">
        <f>IF(OR(BB93="",T93=""),"",BB93+INDEX(Settings!$E$20:$E$23,MATCH(T93,Settings!$A$20:$A$23,0)))</f>
        <v/>
      </c>
      <c r="BD93" s="89" t="n"/>
      <c r="BE93" s="82" t="n"/>
      <c r="BF93" s="81">
        <f>IF(A93="","",IF(OR(BE93="Closed",BE93="Accepted"),"No action",IF(BB93="","Set date identified",IF(TODAY()&gt;BC93,"Deadline exceeded",IF(BC93-TODAY()&lt;=Settings!$C$30,"Deadline approaching","On track")))))</f>
        <v/>
      </c>
      <c r="BG93" s="89" t="n"/>
      <c r="BH93" s="89" t="n"/>
      <c r="BI93" s="90">
        <f>IF(OR(BH93="",AW93=""),"",EDATE(BH93,INDEX(Settings!$F$20:$F$23,MATCH(AW93,Settings!$A$20:$A$23,0))))</f>
        <v/>
      </c>
      <c r="BJ93" s="21">
        <f>IF(T93="","",IF(MAX(IF(T93="",0,MATCH(T93,Settings!$A$20:$A$23,0)),IF(AV93="",0,MATCH(AV93,Settings!$A$20:$A$23,0)))&gt;=MATCH(Settings!$C$29,Settings!$A$20:$A$23,0),"Yes","No"))</f>
        <v/>
      </c>
      <c r="BK93" s="82" t="n"/>
      <c r="BL93" s="81">
        <f>IF(A93="","",IF(TRIM(IF(W93="","Treatment not chosen. ","")&amp;IF(AND(W93="Accept",AX93="No"),"Accepted outside appetite: record approval by "&amp;INDEX(Settings!$G$20:$G$23,MATCH(AW93,Settings!$A$20:$A$23,0))&amp;". ","")&amp;IF(AND(W93="Accept",BG93=""),"Acceptance expiry missing. ","")&amp;IF(AND(BG93&lt;&gt;"",BG93&lt;TODAY()),"Acceptance expired. ","")&amp;IF(AND(W93&lt;&gt;"",W93&lt;&gt;"Accept",AV93=""),"Target rating not set. ","")&amp;IF(AND(BE93="Closed",AX93="No"),"Closed while outside appetite. ","")&amp;IF(AND(W93="Transfer",BE93&lt;&gt;"Transferred",BE93&lt;&gt;"Closed"),"Transfer: record the contract, SLA and audit rights. ","")&amp;IF(AZ93="","Risk owner missing. ","")&amp;IF(K93="","Scenario not written. ",""))="","OK",TRIM(IF(W93="","Treatment not chosen. ","")&amp;IF(AND(W93="Accept",AX93="No"),"Accepted outside appetite: record approval by "&amp;INDEX(Settings!$G$20:$G$23,MATCH(AW93,Settings!$A$20:$A$23,0))&amp;". ","")&amp;IF(AND(W93="Accept",BG93=""),"Acceptance expiry missing. ","")&amp;IF(AND(BG93&lt;&gt;"",BG93&lt;TODAY()),"Acceptance expired. ","")&amp;IF(AND(W93&lt;&gt;"",W93&lt;&gt;"Accept",AV93=""),"Target rating not set. ","")&amp;IF(AND(BE93="Closed",AX93="No"),"Closed while outside appetite. ","")&amp;IF(AND(W93="Transfer",BE93&lt;&gt;"Transferred",BE93&lt;&gt;"Closed"),"Transfer: record the contract, SLA and audit rights. ","")&amp;IF(AZ93="","Risk owner missing. ","")&amp;IF(K93="","Scenario not written. ",""))))</f>
        <v/>
      </c>
      <c r="BM93" s="82" t="n"/>
    </row>
    <row r="94">
      <c r="A94" s="94" t="n"/>
      <c r="B94" s="93" t="n"/>
      <c r="C94" s="80" t="n"/>
      <c r="D94" s="81">
        <f>IF(C94="","",IFERROR(INDEX(Lists!$O$2:$O$13,MATCH(C94,Lists!$N$2:$N$13,0)),"Check domain code"))</f>
        <v/>
      </c>
      <c r="E94" s="81">
        <f>IF(C94="","",IFERROR(INDEX(Lists!$P$2:$P$13,MATCH(C94,Lists!$N$2:$N$13,0)),""))</f>
        <v/>
      </c>
      <c r="F94" s="80" t="n"/>
      <c r="G94" s="82" t="n"/>
      <c r="H94" s="82" t="n"/>
      <c r="I94" s="82" t="n"/>
      <c r="J94" s="93" t="n"/>
      <c r="K94" s="82" t="n"/>
      <c r="L94" s="82" t="n"/>
      <c r="M94" s="94" t="n"/>
      <c r="N94" s="21" t="n"/>
      <c r="O94" s="82" t="n"/>
      <c r="P94" s="85" t="n"/>
      <c r="Q94" s="85" t="n"/>
      <c r="R94" s="85" t="n"/>
      <c r="S94" s="21">
        <f>IF(OR(Q94="",R94=""),"",Q94*R94)</f>
        <v/>
      </c>
      <c r="T94" s="21">
        <f>IF(S94="","",INDEX(Settings!$A$20:$A$23,MATCH(S94,Settings!$B$20:$B$23,1)))</f>
        <v/>
      </c>
      <c r="U94" s="82" t="n"/>
      <c r="V94" s="86" t="n"/>
      <c r="W94" s="85" t="n"/>
      <c r="X94" s="82" t="n"/>
      <c r="Y94" s="95" t="n"/>
      <c r="Z94" s="95" t="n"/>
      <c r="AA94" s="95" t="n"/>
      <c r="AB94" s="95" t="n"/>
      <c r="AC94" s="95" t="n"/>
      <c r="AD94" s="95" t="n"/>
      <c r="AE94" s="95" t="n"/>
      <c r="AF94" s="95" t="n"/>
      <c r="AG94" s="95" t="n"/>
      <c r="AH94" s="95" t="n"/>
      <c r="AI94" s="95" t="n"/>
      <c r="AJ94" s="96" t="n"/>
      <c r="AK94" s="95" t="n"/>
      <c r="AL94" s="95" t="n"/>
      <c r="AM94" s="95" t="n"/>
      <c r="AN94" s="95" t="n"/>
      <c r="AO94" s="95" t="n"/>
      <c r="AP94" s="95" t="n"/>
      <c r="AQ94" s="96" t="n"/>
      <c r="AR94" s="96" t="n"/>
      <c r="AS94" s="85" t="n"/>
      <c r="AT94" s="85" t="n"/>
      <c r="AU94" s="21">
        <f>IF(OR(AS94="",AT94=""),"",AS94*AT94)</f>
        <v/>
      </c>
      <c r="AV94" s="21">
        <f>IF(AU94="","",INDEX(Settings!$A$20:$A$23,MATCH(AU94,Settings!$B$20:$B$23,1)))</f>
        <v/>
      </c>
      <c r="AW94" s="21">
        <f>IF(AV94&lt;&gt;"",AV94,T94)</f>
        <v/>
      </c>
      <c r="AX94" s="21">
        <f>IF(AW94="","",IF(MATCH(AW94,Settings!$A$20:$A$23,0)&lt;=MATCH(Settings!$C$28,Settings!$A$20:$A$23,0),"Yes","No"))</f>
        <v/>
      </c>
      <c r="AY94" s="81">
        <f>IF(AW94="","",IF(AX94="Yes",INDEX(Settings!$G$20:$G$23,MATCH(AW94,Settings!$A$20:$A$23,0)),INDEX(Settings!$G$20:$G$23,MATCH(AW94,Settings!$A$20:$A$23,0))&amp;" (outside appetite)"))</f>
        <v/>
      </c>
      <c r="AZ94" s="82" t="n"/>
      <c r="BA94" s="82" t="n"/>
      <c r="BB94" s="89" t="n"/>
      <c r="BC94" s="90">
        <f>IF(OR(BB94="",T94=""),"",BB94+INDEX(Settings!$E$20:$E$23,MATCH(T94,Settings!$A$20:$A$23,0)))</f>
        <v/>
      </c>
      <c r="BD94" s="89" t="n"/>
      <c r="BE94" s="82" t="n"/>
      <c r="BF94" s="81">
        <f>IF(A94="","",IF(OR(BE94="Closed",BE94="Accepted"),"No action",IF(BB94="","Set date identified",IF(TODAY()&gt;BC94,"Deadline exceeded",IF(BC94-TODAY()&lt;=Settings!$C$30,"Deadline approaching","On track")))))</f>
        <v/>
      </c>
      <c r="BG94" s="89" t="n"/>
      <c r="BH94" s="89" t="n"/>
      <c r="BI94" s="90">
        <f>IF(OR(BH94="",AW94=""),"",EDATE(BH94,INDEX(Settings!$F$20:$F$23,MATCH(AW94,Settings!$A$20:$A$23,0))))</f>
        <v/>
      </c>
      <c r="BJ94" s="21">
        <f>IF(T94="","",IF(MAX(IF(T94="",0,MATCH(T94,Settings!$A$20:$A$23,0)),IF(AV94="",0,MATCH(AV94,Settings!$A$20:$A$23,0)))&gt;=MATCH(Settings!$C$29,Settings!$A$20:$A$23,0),"Yes","No"))</f>
        <v/>
      </c>
      <c r="BK94" s="82" t="n"/>
      <c r="BL94" s="81">
        <f>IF(A94="","",IF(TRIM(IF(W94="","Treatment not chosen. ","")&amp;IF(AND(W94="Accept",AX94="No"),"Accepted outside appetite: record approval by "&amp;INDEX(Settings!$G$20:$G$23,MATCH(AW94,Settings!$A$20:$A$23,0))&amp;". ","")&amp;IF(AND(W94="Accept",BG94=""),"Acceptance expiry missing. ","")&amp;IF(AND(BG94&lt;&gt;"",BG94&lt;TODAY()),"Acceptance expired. ","")&amp;IF(AND(W94&lt;&gt;"",W94&lt;&gt;"Accept",AV94=""),"Target rating not set. ","")&amp;IF(AND(BE94="Closed",AX94="No"),"Closed while outside appetite. ","")&amp;IF(AND(W94="Transfer",BE94&lt;&gt;"Transferred",BE94&lt;&gt;"Closed"),"Transfer: record the contract, SLA and audit rights. ","")&amp;IF(AZ94="","Risk owner missing. ","")&amp;IF(K94="","Scenario not written. ",""))="","OK",TRIM(IF(W94="","Treatment not chosen. ","")&amp;IF(AND(W94="Accept",AX94="No"),"Accepted outside appetite: record approval by "&amp;INDEX(Settings!$G$20:$G$23,MATCH(AW94,Settings!$A$20:$A$23,0))&amp;". ","")&amp;IF(AND(W94="Accept",BG94=""),"Acceptance expiry missing. ","")&amp;IF(AND(BG94&lt;&gt;"",BG94&lt;TODAY()),"Acceptance expired. ","")&amp;IF(AND(W94&lt;&gt;"",W94&lt;&gt;"Accept",AV94=""),"Target rating not set. ","")&amp;IF(AND(BE94="Closed",AX94="No"),"Closed while outside appetite. ","")&amp;IF(AND(W94="Transfer",BE94&lt;&gt;"Transferred",BE94&lt;&gt;"Closed"),"Transfer: record the contract, SLA and audit rights. ","")&amp;IF(AZ94="","Risk owner missing. ","")&amp;IF(K94="","Scenario not written. ",""))))</f>
        <v/>
      </c>
      <c r="BM94" s="82" t="n"/>
    </row>
    <row r="95">
      <c r="A95" s="84" t="n"/>
      <c r="B95" s="83" t="n"/>
      <c r="C95" s="80" t="n"/>
      <c r="D95" s="81">
        <f>IF(C95="","",IFERROR(INDEX(Lists!$O$2:$O$13,MATCH(C95,Lists!$N$2:$N$13,0)),"Check domain code"))</f>
        <v/>
      </c>
      <c r="E95" s="81">
        <f>IF(C95="","",IFERROR(INDEX(Lists!$P$2:$P$13,MATCH(C95,Lists!$N$2:$N$13,0)),""))</f>
        <v/>
      </c>
      <c r="F95" s="80" t="n"/>
      <c r="G95" s="82" t="n"/>
      <c r="H95" s="82" t="n"/>
      <c r="I95" s="82" t="n"/>
      <c r="J95" s="83" t="n"/>
      <c r="K95" s="82" t="n"/>
      <c r="L95" s="82" t="n"/>
      <c r="M95" s="84" t="n"/>
      <c r="N95" s="21" t="n"/>
      <c r="O95" s="82" t="n"/>
      <c r="P95" s="85" t="n"/>
      <c r="Q95" s="85" t="n"/>
      <c r="R95" s="85" t="n"/>
      <c r="S95" s="21">
        <f>IF(OR(Q95="",R95=""),"",Q95*R95)</f>
        <v/>
      </c>
      <c r="T95" s="21">
        <f>IF(S95="","",INDEX(Settings!$A$20:$A$23,MATCH(S95,Settings!$B$20:$B$23,1)))</f>
        <v/>
      </c>
      <c r="U95" s="82" t="n"/>
      <c r="V95" s="86" t="n"/>
      <c r="W95" s="85" t="n"/>
      <c r="X95" s="82" t="n"/>
      <c r="Y95" s="87" t="n"/>
      <c r="Z95" s="87" t="n"/>
      <c r="AA95" s="87" t="n"/>
      <c r="AB95" s="87" t="n"/>
      <c r="AC95" s="87" t="n"/>
      <c r="AD95" s="87" t="n"/>
      <c r="AE95" s="87" t="n"/>
      <c r="AF95" s="87" t="n"/>
      <c r="AG95" s="87" t="n"/>
      <c r="AH95" s="87" t="n"/>
      <c r="AI95" s="87" t="n"/>
      <c r="AJ95" s="88" t="n"/>
      <c r="AK95" s="87" t="n"/>
      <c r="AL95" s="87" t="n"/>
      <c r="AM95" s="87" t="n"/>
      <c r="AN95" s="87" t="n"/>
      <c r="AO95" s="87" t="n"/>
      <c r="AP95" s="87" t="n"/>
      <c r="AQ95" s="88" t="n"/>
      <c r="AR95" s="88" t="n"/>
      <c r="AS95" s="85" t="n"/>
      <c r="AT95" s="85" t="n"/>
      <c r="AU95" s="21">
        <f>IF(OR(AS95="",AT95=""),"",AS95*AT95)</f>
        <v/>
      </c>
      <c r="AV95" s="21">
        <f>IF(AU95="","",INDEX(Settings!$A$20:$A$23,MATCH(AU95,Settings!$B$20:$B$23,1)))</f>
        <v/>
      </c>
      <c r="AW95" s="21">
        <f>IF(AV95&lt;&gt;"",AV95,T95)</f>
        <v/>
      </c>
      <c r="AX95" s="21">
        <f>IF(AW95="","",IF(MATCH(AW95,Settings!$A$20:$A$23,0)&lt;=MATCH(Settings!$C$28,Settings!$A$20:$A$23,0),"Yes","No"))</f>
        <v/>
      </c>
      <c r="AY95" s="81">
        <f>IF(AW95="","",IF(AX95="Yes",INDEX(Settings!$G$20:$G$23,MATCH(AW95,Settings!$A$20:$A$23,0)),INDEX(Settings!$G$20:$G$23,MATCH(AW95,Settings!$A$20:$A$23,0))&amp;" (outside appetite)"))</f>
        <v/>
      </c>
      <c r="AZ95" s="82" t="n"/>
      <c r="BA95" s="82" t="n"/>
      <c r="BB95" s="89" t="n"/>
      <c r="BC95" s="90">
        <f>IF(OR(BB95="",T95=""),"",BB95+INDEX(Settings!$E$20:$E$23,MATCH(T95,Settings!$A$20:$A$23,0)))</f>
        <v/>
      </c>
      <c r="BD95" s="89" t="n"/>
      <c r="BE95" s="82" t="n"/>
      <c r="BF95" s="81">
        <f>IF(A95="","",IF(OR(BE95="Closed",BE95="Accepted"),"No action",IF(BB95="","Set date identified",IF(TODAY()&gt;BC95,"Deadline exceeded",IF(BC95-TODAY()&lt;=Settings!$C$30,"Deadline approaching","On track")))))</f>
        <v/>
      </c>
      <c r="BG95" s="89" t="n"/>
      <c r="BH95" s="89" t="n"/>
      <c r="BI95" s="90">
        <f>IF(OR(BH95="",AW95=""),"",EDATE(BH95,INDEX(Settings!$F$20:$F$23,MATCH(AW95,Settings!$A$20:$A$23,0))))</f>
        <v/>
      </c>
      <c r="BJ95" s="21">
        <f>IF(T95="","",IF(MAX(IF(T95="",0,MATCH(T95,Settings!$A$20:$A$23,0)),IF(AV95="",0,MATCH(AV95,Settings!$A$20:$A$23,0)))&gt;=MATCH(Settings!$C$29,Settings!$A$20:$A$23,0),"Yes","No"))</f>
        <v/>
      </c>
      <c r="BK95" s="82" t="n"/>
      <c r="BL95" s="81">
        <f>IF(A95="","",IF(TRIM(IF(W95="","Treatment not chosen. ","")&amp;IF(AND(W95="Accept",AX95="No"),"Accepted outside appetite: record approval by "&amp;INDEX(Settings!$G$20:$G$23,MATCH(AW95,Settings!$A$20:$A$23,0))&amp;". ","")&amp;IF(AND(W95="Accept",BG95=""),"Acceptance expiry missing. ","")&amp;IF(AND(BG95&lt;&gt;"",BG95&lt;TODAY()),"Acceptance expired. ","")&amp;IF(AND(W95&lt;&gt;"",W95&lt;&gt;"Accept",AV95=""),"Target rating not set. ","")&amp;IF(AND(BE95="Closed",AX95="No"),"Closed while outside appetite. ","")&amp;IF(AND(W95="Transfer",BE95&lt;&gt;"Transferred",BE95&lt;&gt;"Closed"),"Transfer: record the contract, SLA and audit rights. ","")&amp;IF(AZ95="","Risk owner missing. ","")&amp;IF(K95="","Scenario not written. ",""))="","OK",TRIM(IF(W95="","Treatment not chosen. ","")&amp;IF(AND(W95="Accept",AX95="No"),"Accepted outside appetite: record approval by "&amp;INDEX(Settings!$G$20:$G$23,MATCH(AW95,Settings!$A$20:$A$23,0))&amp;". ","")&amp;IF(AND(W95="Accept",BG95=""),"Acceptance expiry missing. ","")&amp;IF(AND(BG95&lt;&gt;"",BG95&lt;TODAY()),"Acceptance expired. ","")&amp;IF(AND(W95&lt;&gt;"",W95&lt;&gt;"Accept",AV95=""),"Target rating not set. ","")&amp;IF(AND(BE95="Closed",AX95="No"),"Closed while outside appetite. ","")&amp;IF(AND(W95="Transfer",BE95&lt;&gt;"Transferred",BE95&lt;&gt;"Closed"),"Transfer: record the contract, SLA and audit rights. ","")&amp;IF(AZ95="","Risk owner missing. ","")&amp;IF(K95="","Scenario not written. ",""))))</f>
        <v/>
      </c>
      <c r="BM95" s="82" t="n"/>
    </row>
    <row r="96">
      <c r="A96" s="94" t="n"/>
      <c r="B96" s="93" t="n"/>
      <c r="C96" s="80" t="n"/>
      <c r="D96" s="81">
        <f>IF(C96="","",IFERROR(INDEX(Lists!$O$2:$O$13,MATCH(C96,Lists!$N$2:$N$13,0)),"Check domain code"))</f>
        <v/>
      </c>
      <c r="E96" s="81">
        <f>IF(C96="","",IFERROR(INDEX(Lists!$P$2:$P$13,MATCH(C96,Lists!$N$2:$N$13,0)),""))</f>
        <v/>
      </c>
      <c r="F96" s="80" t="n"/>
      <c r="G96" s="82" t="n"/>
      <c r="H96" s="82" t="n"/>
      <c r="I96" s="82" t="n"/>
      <c r="J96" s="93" t="n"/>
      <c r="K96" s="82" t="n"/>
      <c r="L96" s="82" t="n"/>
      <c r="M96" s="94" t="n"/>
      <c r="N96" s="21" t="n"/>
      <c r="O96" s="82" t="n"/>
      <c r="P96" s="85" t="n"/>
      <c r="Q96" s="85" t="n"/>
      <c r="R96" s="85" t="n"/>
      <c r="S96" s="21">
        <f>IF(OR(Q96="",R96=""),"",Q96*R96)</f>
        <v/>
      </c>
      <c r="T96" s="21">
        <f>IF(S96="","",INDEX(Settings!$A$20:$A$23,MATCH(S96,Settings!$B$20:$B$23,1)))</f>
        <v/>
      </c>
      <c r="U96" s="82" t="n"/>
      <c r="V96" s="86" t="n"/>
      <c r="W96" s="85" t="n"/>
      <c r="X96" s="82" t="n"/>
      <c r="Y96" s="95" t="n"/>
      <c r="Z96" s="95" t="n"/>
      <c r="AA96" s="95" t="n"/>
      <c r="AB96" s="95" t="n"/>
      <c r="AC96" s="95" t="n"/>
      <c r="AD96" s="95" t="n"/>
      <c r="AE96" s="95" t="n"/>
      <c r="AF96" s="95" t="n"/>
      <c r="AG96" s="95" t="n"/>
      <c r="AH96" s="95" t="n"/>
      <c r="AI96" s="95" t="n"/>
      <c r="AJ96" s="96" t="n"/>
      <c r="AK96" s="95" t="n"/>
      <c r="AL96" s="95" t="n"/>
      <c r="AM96" s="95" t="n"/>
      <c r="AN96" s="95" t="n"/>
      <c r="AO96" s="95" t="n"/>
      <c r="AP96" s="95" t="n"/>
      <c r="AQ96" s="96" t="n"/>
      <c r="AR96" s="96" t="n"/>
      <c r="AS96" s="85" t="n"/>
      <c r="AT96" s="85" t="n"/>
      <c r="AU96" s="21">
        <f>IF(OR(AS96="",AT96=""),"",AS96*AT96)</f>
        <v/>
      </c>
      <c r="AV96" s="21">
        <f>IF(AU96="","",INDEX(Settings!$A$20:$A$23,MATCH(AU96,Settings!$B$20:$B$23,1)))</f>
        <v/>
      </c>
      <c r="AW96" s="21">
        <f>IF(AV96&lt;&gt;"",AV96,T96)</f>
        <v/>
      </c>
      <c r="AX96" s="21">
        <f>IF(AW96="","",IF(MATCH(AW96,Settings!$A$20:$A$23,0)&lt;=MATCH(Settings!$C$28,Settings!$A$20:$A$23,0),"Yes","No"))</f>
        <v/>
      </c>
      <c r="AY96" s="81">
        <f>IF(AW96="","",IF(AX96="Yes",INDEX(Settings!$G$20:$G$23,MATCH(AW96,Settings!$A$20:$A$23,0)),INDEX(Settings!$G$20:$G$23,MATCH(AW96,Settings!$A$20:$A$23,0))&amp;" (outside appetite)"))</f>
        <v/>
      </c>
      <c r="AZ96" s="82" t="n"/>
      <c r="BA96" s="82" t="n"/>
      <c r="BB96" s="89" t="n"/>
      <c r="BC96" s="90">
        <f>IF(OR(BB96="",T96=""),"",BB96+INDEX(Settings!$E$20:$E$23,MATCH(T96,Settings!$A$20:$A$23,0)))</f>
        <v/>
      </c>
      <c r="BD96" s="89" t="n"/>
      <c r="BE96" s="82" t="n"/>
      <c r="BF96" s="81">
        <f>IF(A96="","",IF(OR(BE96="Closed",BE96="Accepted"),"No action",IF(BB96="","Set date identified",IF(TODAY()&gt;BC96,"Deadline exceeded",IF(BC96-TODAY()&lt;=Settings!$C$30,"Deadline approaching","On track")))))</f>
        <v/>
      </c>
      <c r="BG96" s="89" t="n"/>
      <c r="BH96" s="89" t="n"/>
      <c r="BI96" s="90">
        <f>IF(OR(BH96="",AW96=""),"",EDATE(BH96,INDEX(Settings!$F$20:$F$23,MATCH(AW96,Settings!$A$20:$A$23,0))))</f>
        <v/>
      </c>
      <c r="BJ96" s="21">
        <f>IF(T96="","",IF(MAX(IF(T96="",0,MATCH(T96,Settings!$A$20:$A$23,0)),IF(AV96="",0,MATCH(AV96,Settings!$A$20:$A$23,0)))&gt;=MATCH(Settings!$C$29,Settings!$A$20:$A$23,0),"Yes","No"))</f>
        <v/>
      </c>
      <c r="BK96" s="82" t="n"/>
      <c r="BL96" s="81">
        <f>IF(A96="","",IF(TRIM(IF(W96="","Treatment not chosen. ","")&amp;IF(AND(W96="Accept",AX96="No"),"Accepted outside appetite: record approval by "&amp;INDEX(Settings!$G$20:$G$23,MATCH(AW96,Settings!$A$20:$A$23,0))&amp;". ","")&amp;IF(AND(W96="Accept",BG96=""),"Acceptance expiry missing. ","")&amp;IF(AND(BG96&lt;&gt;"",BG96&lt;TODAY()),"Acceptance expired. ","")&amp;IF(AND(W96&lt;&gt;"",W96&lt;&gt;"Accept",AV96=""),"Target rating not set. ","")&amp;IF(AND(BE96="Closed",AX96="No"),"Closed while outside appetite. ","")&amp;IF(AND(W96="Transfer",BE96&lt;&gt;"Transferred",BE96&lt;&gt;"Closed"),"Transfer: record the contract, SLA and audit rights. ","")&amp;IF(AZ96="","Risk owner missing. ","")&amp;IF(K96="","Scenario not written. ",""))="","OK",TRIM(IF(W96="","Treatment not chosen. ","")&amp;IF(AND(W96="Accept",AX96="No"),"Accepted outside appetite: record approval by "&amp;INDEX(Settings!$G$20:$G$23,MATCH(AW96,Settings!$A$20:$A$23,0))&amp;". ","")&amp;IF(AND(W96="Accept",BG96=""),"Acceptance expiry missing. ","")&amp;IF(AND(BG96&lt;&gt;"",BG96&lt;TODAY()),"Acceptance expired. ","")&amp;IF(AND(W96&lt;&gt;"",W96&lt;&gt;"Accept",AV96=""),"Target rating not set. ","")&amp;IF(AND(BE96="Closed",AX96="No"),"Closed while outside appetite. ","")&amp;IF(AND(W96="Transfer",BE96&lt;&gt;"Transferred",BE96&lt;&gt;"Closed"),"Transfer: record the contract, SLA and audit rights. ","")&amp;IF(AZ96="","Risk owner missing. ","")&amp;IF(K96="","Scenario not written. ",""))))</f>
        <v/>
      </c>
      <c r="BM96" s="82" t="n"/>
    </row>
    <row r="97">
      <c r="A97" s="84" t="n"/>
      <c r="B97" s="83" t="n"/>
      <c r="C97" s="80" t="n"/>
      <c r="D97" s="81">
        <f>IF(C97="","",IFERROR(INDEX(Lists!$O$2:$O$13,MATCH(C97,Lists!$N$2:$N$13,0)),"Check domain code"))</f>
        <v/>
      </c>
      <c r="E97" s="81">
        <f>IF(C97="","",IFERROR(INDEX(Lists!$P$2:$P$13,MATCH(C97,Lists!$N$2:$N$13,0)),""))</f>
        <v/>
      </c>
      <c r="F97" s="80" t="n"/>
      <c r="G97" s="82" t="n"/>
      <c r="H97" s="82" t="n"/>
      <c r="I97" s="82" t="n"/>
      <c r="J97" s="83" t="n"/>
      <c r="K97" s="82" t="n"/>
      <c r="L97" s="82" t="n"/>
      <c r="M97" s="84" t="n"/>
      <c r="N97" s="21" t="n"/>
      <c r="O97" s="82" t="n"/>
      <c r="P97" s="85" t="n"/>
      <c r="Q97" s="85" t="n"/>
      <c r="R97" s="85" t="n"/>
      <c r="S97" s="21">
        <f>IF(OR(Q97="",R97=""),"",Q97*R97)</f>
        <v/>
      </c>
      <c r="T97" s="21">
        <f>IF(S97="","",INDEX(Settings!$A$20:$A$23,MATCH(S97,Settings!$B$20:$B$23,1)))</f>
        <v/>
      </c>
      <c r="U97" s="82" t="n"/>
      <c r="V97" s="86" t="n"/>
      <c r="W97" s="85" t="n"/>
      <c r="X97" s="82" t="n"/>
      <c r="Y97" s="87" t="n"/>
      <c r="Z97" s="87" t="n"/>
      <c r="AA97" s="87" t="n"/>
      <c r="AB97" s="87" t="n"/>
      <c r="AC97" s="87" t="n"/>
      <c r="AD97" s="87" t="n"/>
      <c r="AE97" s="87" t="n"/>
      <c r="AF97" s="87" t="n"/>
      <c r="AG97" s="87" t="n"/>
      <c r="AH97" s="87" t="n"/>
      <c r="AI97" s="87" t="n"/>
      <c r="AJ97" s="88" t="n"/>
      <c r="AK97" s="87" t="n"/>
      <c r="AL97" s="87" t="n"/>
      <c r="AM97" s="87" t="n"/>
      <c r="AN97" s="87" t="n"/>
      <c r="AO97" s="87" t="n"/>
      <c r="AP97" s="87" t="n"/>
      <c r="AQ97" s="88" t="n"/>
      <c r="AR97" s="88" t="n"/>
      <c r="AS97" s="85" t="n"/>
      <c r="AT97" s="85" t="n"/>
      <c r="AU97" s="21">
        <f>IF(OR(AS97="",AT97=""),"",AS97*AT97)</f>
        <v/>
      </c>
      <c r="AV97" s="21">
        <f>IF(AU97="","",INDEX(Settings!$A$20:$A$23,MATCH(AU97,Settings!$B$20:$B$23,1)))</f>
        <v/>
      </c>
      <c r="AW97" s="21">
        <f>IF(AV97&lt;&gt;"",AV97,T97)</f>
        <v/>
      </c>
      <c r="AX97" s="21">
        <f>IF(AW97="","",IF(MATCH(AW97,Settings!$A$20:$A$23,0)&lt;=MATCH(Settings!$C$28,Settings!$A$20:$A$23,0),"Yes","No"))</f>
        <v/>
      </c>
      <c r="AY97" s="81">
        <f>IF(AW97="","",IF(AX97="Yes",INDEX(Settings!$G$20:$G$23,MATCH(AW97,Settings!$A$20:$A$23,0)),INDEX(Settings!$G$20:$G$23,MATCH(AW97,Settings!$A$20:$A$23,0))&amp;" (outside appetite)"))</f>
        <v/>
      </c>
      <c r="AZ97" s="82" t="n"/>
      <c r="BA97" s="82" t="n"/>
      <c r="BB97" s="89" t="n"/>
      <c r="BC97" s="90">
        <f>IF(OR(BB97="",T97=""),"",BB97+INDEX(Settings!$E$20:$E$23,MATCH(T97,Settings!$A$20:$A$23,0)))</f>
        <v/>
      </c>
      <c r="BD97" s="89" t="n"/>
      <c r="BE97" s="82" t="n"/>
      <c r="BF97" s="81">
        <f>IF(A97="","",IF(OR(BE97="Closed",BE97="Accepted"),"No action",IF(BB97="","Set date identified",IF(TODAY()&gt;BC97,"Deadline exceeded",IF(BC97-TODAY()&lt;=Settings!$C$30,"Deadline approaching","On track")))))</f>
        <v/>
      </c>
      <c r="BG97" s="89" t="n"/>
      <c r="BH97" s="89" t="n"/>
      <c r="BI97" s="90">
        <f>IF(OR(BH97="",AW97=""),"",EDATE(BH97,INDEX(Settings!$F$20:$F$23,MATCH(AW97,Settings!$A$20:$A$23,0))))</f>
        <v/>
      </c>
      <c r="BJ97" s="21">
        <f>IF(T97="","",IF(MAX(IF(T97="",0,MATCH(T97,Settings!$A$20:$A$23,0)),IF(AV97="",0,MATCH(AV97,Settings!$A$20:$A$23,0)))&gt;=MATCH(Settings!$C$29,Settings!$A$20:$A$23,0),"Yes","No"))</f>
        <v/>
      </c>
      <c r="BK97" s="82" t="n"/>
      <c r="BL97" s="81">
        <f>IF(A97="","",IF(TRIM(IF(W97="","Treatment not chosen. ","")&amp;IF(AND(W97="Accept",AX97="No"),"Accepted outside appetite: record approval by "&amp;INDEX(Settings!$G$20:$G$23,MATCH(AW97,Settings!$A$20:$A$23,0))&amp;". ","")&amp;IF(AND(W97="Accept",BG97=""),"Acceptance expiry missing. ","")&amp;IF(AND(BG97&lt;&gt;"",BG97&lt;TODAY()),"Acceptance expired. ","")&amp;IF(AND(W97&lt;&gt;"",W97&lt;&gt;"Accept",AV97=""),"Target rating not set. ","")&amp;IF(AND(BE97="Closed",AX97="No"),"Closed while outside appetite. ","")&amp;IF(AND(W97="Transfer",BE97&lt;&gt;"Transferred",BE97&lt;&gt;"Closed"),"Transfer: record the contract, SLA and audit rights. ","")&amp;IF(AZ97="","Risk owner missing. ","")&amp;IF(K97="","Scenario not written. ",""))="","OK",TRIM(IF(W97="","Treatment not chosen. ","")&amp;IF(AND(W97="Accept",AX97="No"),"Accepted outside appetite: record approval by "&amp;INDEX(Settings!$G$20:$G$23,MATCH(AW97,Settings!$A$20:$A$23,0))&amp;". ","")&amp;IF(AND(W97="Accept",BG97=""),"Acceptance expiry missing. ","")&amp;IF(AND(BG97&lt;&gt;"",BG97&lt;TODAY()),"Acceptance expired. ","")&amp;IF(AND(W97&lt;&gt;"",W97&lt;&gt;"Accept",AV97=""),"Target rating not set. ","")&amp;IF(AND(BE97="Closed",AX97="No"),"Closed while outside appetite. ","")&amp;IF(AND(W97="Transfer",BE97&lt;&gt;"Transferred",BE97&lt;&gt;"Closed"),"Transfer: record the contract, SLA and audit rights. ","")&amp;IF(AZ97="","Risk owner missing. ","")&amp;IF(K97="","Scenario not written. ",""))))</f>
        <v/>
      </c>
      <c r="BM97" s="82" t="n"/>
    </row>
    <row r="98">
      <c r="A98" s="94" t="n"/>
      <c r="B98" s="93" t="n"/>
      <c r="C98" s="80" t="n"/>
      <c r="D98" s="81">
        <f>IF(C98="","",IFERROR(INDEX(Lists!$O$2:$O$13,MATCH(C98,Lists!$N$2:$N$13,0)),"Check domain code"))</f>
        <v/>
      </c>
      <c r="E98" s="81">
        <f>IF(C98="","",IFERROR(INDEX(Lists!$P$2:$P$13,MATCH(C98,Lists!$N$2:$N$13,0)),""))</f>
        <v/>
      </c>
      <c r="F98" s="80" t="n"/>
      <c r="G98" s="82" t="n"/>
      <c r="H98" s="82" t="n"/>
      <c r="I98" s="82" t="n"/>
      <c r="J98" s="93" t="n"/>
      <c r="K98" s="82" t="n"/>
      <c r="L98" s="82" t="n"/>
      <c r="M98" s="94" t="n"/>
      <c r="N98" s="21" t="n"/>
      <c r="O98" s="82" t="n"/>
      <c r="P98" s="85" t="n"/>
      <c r="Q98" s="85" t="n"/>
      <c r="R98" s="85" t="n"/>
      <c r="S98" s="21">
        <f>IF(OR(Q98="",R98=""),"",Q98*R98)</f>
        <v/>
      </c>
      <c r="T98" s="21">
        <f>IF(S98="","",INDEX(Settings!$A$20:$A$23,MATCH(S98,Settings!$B$20:$B$23,1)))</f>
        <v/>
      </c>
      <c r="U98" s="82" t="n"/>
      <c r="V98" s="86" t="n"/>
      <c r="W98" s="85" t="n"/>
      <c r="X98" s="82" t="n"/>
      <c r="Y98" s="95" t="n"/>
      <c r="Z98" s="95" t="n"/>
      <c r="AA98" s="95" t="n"/>
      <c r="AB98" s="95" t="n"/>
      <c r="AC98" s="95" t="n"/>
      <c r="AD98" s="95" t="n"/>
      <c r="AE98" s="95" t="n"/>
      <c r="AF98" s="95" t="n"/>
      <c r="AG98" s="95" t="n"/>
      <c r="AH98" s="95" t="n"/>
      <c r="AI98" s="95" t="n"/>
      <c r="AJ98" s="96" t="n"/>
      <c r="AK98" s="95" t="n"/>
      <c r="AL98" s="95" t="n"/>
      <c r="AM98" s="95" t="n"/>
      <c r="AN98" s="95" t="n"/>
      <c r="AO98" s="95" t="n"/>
      <c r="AP98" s="95" t="n"/>
      <c r="AQ98" s="96" t="n"/>
      <c r="AR98" s="96" t="n"/>
      <c r="AS98" s="85" t="n"/>
      <c r="AT98" s="85" t="n"/>
      <c r="AU98" s="21">
        <f>IF(OR(AS98="",AT98=""),"",AS98*AT98)</f>
        <v/>
      </c>
      <c r="AV98" s="21">
        <f>IF(AU98="","",INDEX(Settings!$A$20:$A$23,MATCH(AU98,Settings!$B$20:$B$23,1)))</f>
        <v/>
      </c>
      <c r="AW98" s="21">
        <f>IF(AV98&lt;&gt;"",AV98,T98)</f>
        <v/>
      </c>
      <c r="AX98" s="21">
        <f>IF(AW98="","",IF(MATCH(AW98,Settings!$A$20:$A$23,0)&lt;=MATCH(Settings!$C$28,Settings!$A$20:$A$23,0),"Yes","No"))</f>
        <v/>
      </c>
      <c r="AY98" s="81">
        <f>IF(AW98="","",IF(AX98="Yes",INDEX(Settings!$G$20:$G$23,MATCH(AW98,Settings!$A$20:$A$23,0)),INDEX(Settings!$G$20:$G$23,MATCH(AW98,Settings!$A$20:$A$23,0))&amp;" (outside appetite)"))</f>
        <v/>
      </c>
      <c r="AZ98" s="82" t="n"/>
      <c r="BA98" s="82" t="n"/>
      <c r="BB98" s="89" t="n"/>
      <c r="BC98" s="90">
        <f>IF(OR(BB98="",T98=""),"",BB98+INDEX(Settings!$E$20:$E$23,MATCH(T98,Settings!$A$20:$A$23,0)))</f>
        <v/>
      </c>
      <c r="BD98" s="89" t="n"/>
      <c r="BE98" s="82" t="n"/>
      <c r="BF98" s="81">
        <f>IF(A98="","",IF(OR(BE98="Closed",BE98="Accepted"),"No action",IF(BB98="","Set date identified",IF(TODAY()&gt;BC98,"Deadline exceeded",IF(BC98-TODAY()&lt;=Settings!$C$30,"Deadline approaching","On track")))))</f>
        <v/>
      </c>
      <c r="BG98" s="89" t="n"/>
      <c r="BH98" s="89" t="n"/>
      <c r="BI98" s="90">
        <f>IF(OR(BH98="",AW98=""),"",EDATE(BH98,INDEX(Settings!$F$20:$F$23,MATCH(AW98,Settings!$A$20:$A$23,0))))</f>
        <v/>
      </c>
      <c r="BJ98" s="21">
        <f>IF(T98="","",IF(MAX(IF(T98="",0,MATCH(T98,Settings!$A$20:$A$23,0)),IF(AV98="",0,MATCH(AV98,Settings!$A$20:$A$23,0)))&gt;=MATCH(Settings!$C$29,Settings!$A$20:$A$23,0),"Yes","No"))</f>
        <v/>
      </c>
      <c r="BK98" s="82" t="n"/>
      <c r="BL98" s="81">
        <f>IF(A98="","",IF(TRIM(IF(W98="","Treatment not chosen. ","")&amp;IF(AND(W98="Accept",AX98="No"),"Accepted outside appetite: record approval by "&amp;INDEX(Settings!$G$20:$G$23,MATCH(AW98,Settings!$A$20:$A$23,0))&amp;". ","")&amp;IF(AND(W98="Accept",BG98=""),"Acceptance expiry missing. ","")&amp;IF(AND(BG98&lt;&gt;"",BG98&lt;TODAY()),"Acceptance expired. ","")&amp;IF(AND(W98&lt;&gt;"",W98&lt;&gt;"Accept",AV98=""),"Target rating not set. ","")&amp;IF(AND(BE98="Closed",AX98="No"),"Closed while outside appetite. ","")&amp;IF(AND(W98="Transfer",BE98&lt;&gt;"Transferred",BE98&lt;&gt;"Closed"),"Transfer: record the contract, SLA and audit rights. ","")&amp;IF(AZ98="","Risk owner missing. ","")&amp;IF(K98="","Scenario not written. ",""))="","OK",TRIM(IF(W98="","Treatment not chosen. ","")&amp;IF(AND(W98="Accept",AX98="No"),"Accepted outside appetite: record approval by "&amp;INDEX(Settings!$G$20:$G$23,MATCH(AW98,Settings!$A$20:$A$23,0))&amp;". ","")&amp;IF(AND(W98="Accept",BG98=""),"Acceptance expiry missing. ","")&amp;IF(AND(BG98&lt;&gt;"",BG98&lt;TODAY()),"Acceptance expired. ","")&amp;IF(AND(W98&lt;&gt;"",W98&lt;&gt;"Accept",AV98=""),"Target rating not set. ","")&amp;IF(AND(BE98="Closed",AX98="No"),"Closed while outside appetite. ","")&amp;IF(AND(W98="Transfer",BE98&lt;&gt;"Transferred",BE98&lt;&gt;"Closed"),"Transfer: record the contract, SLA and audit rights. ","")&amp;IF(AZ98="","Risk owner missing. ","")&amp;IF(K98="","Scenario not written. ",""))))</f>
        <v/>
      </c>
      <c r="BM98" s="82" t="n"/>
    </row>
    <row r="99">
      <c r="A99" s="84" t="n"/>
      <c r="B99" s="83" t="n"/>
      <c r="C99" s="80" t="n"/>
      <c r="D99" s="81">
        <f>IF(C99="","",IFERROR(INDEX(Lists!$O$2:$O$13,MATCH(C99,Lists!$N$2:$N$13,0)),"Check domain code"))</f>
        <v/>
      </c>
      <c r="E99" s="81">
        <f>IF(C99="","",IFERROR(INDEX(Lists!$P$2:$P$13,MATCH(C99,Lists!$N$2:$N$13,0)),""))</f>
        <v/>
      </c>
      <c r="F99" s="80" t="n"/>
      <c r="G99" s="82" t="n"/>
      <c r="H99" s="82" t="n"/>
      <c r="I99" s="82" t="n"/>
      <c r="J99" s="83" t="n"/>
      <c r="K99" s="82" t="n"/>
      <c r="L99" s="82" t="n"/>
      <c r="M99" s="84" t="n"/>
      <c r="N99" s="21" t="n"/>
      <c r="O99" s="82" t="n"/>
      <c r="P99" s="85" t="n"/>
      <c r="Q99" s="85" t="n"/>
      <c r="R99" s="85" t="n"/>
      <c r="S99" s="21">
        <f>IF(OR(Q99="",R99=""),"",Q99*R99)</f>
        <v/>
      </c>
      <c r="T99" s="21">
        <f>IF(S99="","",INDEX(Settings!$A$20:$A$23,MATCH(S99,Settings!$B$20:$B$23,1)))</f>
        <v/>
      </c>
      <c r="U99" s="82" t="n"/>
      <c r="V99" s="86" t="n"/>
      <c r="W99" s="85" t="n"/>
      <c r="X99" s="82" t="n"/>
      <c r="Y99" s="87" t="n"/>
      <c r="Z99" s="87" t="n"/>
      <c r="AA99" s="87" t="n"/>
      <c r="AB99" s="87" t="n"/>
      <c r="AC99" s="87" t="n"/>
      <c r="AD99" s="87" t="n"/>
      <c r="AE99" s="87" t="n"/>
      <c r="AF99" s="87" t="n"/>
      <c r="AG99" s="87" t="n"/>
      <c r="AH99" s="87" t="n"/>
      <c r="AI99" s="87" t="n"/>
      <c r="AJ99" s="88" t="n"/>
      <c r="AK99" s="87" t="n"/>
      <c r="AL99" s="87" t="n"/>
      <c r="AM99" s="87" t="n"/>
      <c r="AN99" s="87" t="n"/>
      <c r="AO99" s="87" t="n"/>
      <c r="AP99" s="87" t="n"/>
      <c r="AQ99" s="88" t="n"/>
      <c r="AR99" s="88" t="n"/>
      <c r="AS99" s="85" t="n"/>
      <c r="AT99" s="85" t="n"/>
      <c r="AU99" s="21">
        <f>IF(OR(AS99="",AT99=""),"",AS99*AT99)</f>
        <v/>
      </c>
      <c r="AV99" s="21">
        <f>IF(AU99="","",INDEX(Settings!$A$20:$A$23,MATCH(AU99,Settings!$B$20:$B$23,1)))</f>
        <v/>
      </c>
      <c r="AW99" s="21">
        <f>IF(AV99&lt;&gt;"",AV99,T99)</f>
        <v/>
      </c>
      <c r="AX99" s="21">
        <f>IF(AW99="","",IF(MATCH(AW99,Settings!$A$20:$A$23,0)&lt;=MATCH(Settings!$C$28,Settings!$A$20:$A$23,0),"Yes","No"))</f>
        <v/>
      </c>
      <c r="AY99" s="81">
        <f>IF(AW99="","",IF(AX99="Yes",INDEX(Settings!$G$20:$G$23,MATCH(AW99,Settings!$A$20:$A$23,0)),INDEX(Settings!$G$20:$G$23,MATCH(AW99,Settings!$A$20:$A$23,0))&amp;" (outside appetite)"))</f>
        <v/>
      </c>
      <c r="AZ99" s="82" t="n"/>
      <c r="BA99" s="82" t="n"/>
      <c r="BB99" s="89" t="n"/>
      <c r="BC99" s="90">
        <f>IF(OR(BB99="",T99=""),"",BB99+INDEX(Settings!$E$20:$E$23,MATCH(T99,Settings!$A$20:$A$23,0)))</f>
        <v/>
      </c>
      <c r="BD99" s="89" t="n"/>
      <c r="BE99" s="82" t="n"/>
      <c r="BF99" s="81">
        <f>IF(A99="","",IF(OR(BE99="Closed",BE99="Accepted"),"No action",IF(BB99="","Set date identified",IF(TODAY()&gt;BC99,"Deadline exceeded",IF(BC99-TODAY()&lt;=Settings!$C$30,"Deadline approaching","On track")))))</f>
        <v/>
      </c>
      <c r="BG99" s="89" t="n"/>
      <c r="BH99" s="89" t="n"/>
      <c r="BI99" s="90">
        <f>IF(OR(BH99="",AW99=""),"",EDATE(BH99,INDEX(Settings!$F$20:$F$23,MATCH(AW99,Settings!$A$20:$A$23,0))))</f>
        <v/>
      </c>
      <c r="BJ99" s="21">
        <f>IF(T99="","",IF(MAX(IF(T99="",0,MATCH(T99,Settings!$A$20:$A$23,0)),IF(AV99="",0,MATCH(AV99,Settings!$A$20:$A$23,0)))&gt;=MATCH(Settings!$C$29,Settings!$A$20:$A$23,0),"Yes","No"))</f>
        <v/>
      </c>
      <c r="BK99" s="82" t="n"/>
      <c r="BL99" s="81">
        <f>IF(A99="","",IF(TRIM(IF(W99="","Treatment not chosen. ","")&amp;IF(AND(W99="Accept",AX99="No"),"Accepted outside appetite: record approval by "&amp;INDEX(Settings!$G$20:$G$23,MATCH(AW99,Settings!$A$20:$A$23,0))&amp;". ","")&amp;IF(AND(W99="Accept",BG99=""),"Acceptance expiry missing. ","")&amp;IF(AND(BG99&lt;&gt;"",BG99&lt;TODAY()),"Acceptance expired. ","")&amp;IF(AND(W99&lt;&gt;"",W99&lt;&gt;"Accept",AV99=""),"Target rating not set. ","")&amp;IF(AND(BE99="Closed",AX99="No"),"Closed while outside appetite. ","")&amp;IF(AND(W99="Transfer",BE99&lt;&gt;"Transferred",BE99&lt;&gt;"Closed"),"Transfer: record the contract, SLA and audit rights. ","")&amp;IF(AZ99="","Risk owner missing. ","")&amp;IF(K99="","Scenario not written. ",""))="","OK",TRIM(IF(W99="","Treatment not chosen. ","")&amp;IF(AND(W99="Accept",AX99="No"),"Accepted outside appetite: record approval by "&amp;INDEX(Settings!$G$20:$G$23,MATCH(AW99,Settings!$A$20:$A$23,0))&amp;". ","")&amp;IF(AND(W99="Accept",BG99=""),"Acceptance expiry missing. ","")&amp;IF(AND(BG99&lt;&gt;"",BG99&lt;TODAY()),"Acceptance expired. ","")&amp;IF(AND(W99&lt;&gt;"",W99&lt;&gt;"Accept",AV99=""),"Target rating not set. ","")&amp;IF(AND(BE99="Closed",AX99="No"),"Closed while outside appetite. ","")&amp;IF(AND(W99="Transfer",BE99&lt;&gt;"Transferred",BE99&lt;&gt;"Closed"),"Transfer: record the contract, SLA and audit rights. ","")&amp;IF(AZ99="","Risk owner missing. ","")&amp;IF(K99="","Scenario not written. ",""))))</f>
        <v/>
      </c>
      <c r="BM99" s="82" t="n"/>
    </row>
    <row r="100">
      <c r="A100" s="94" t="n"/>
      <c r="B100" s="93" t="n"/>
      <c r="C100" s="80" t="n"/>
      <c r="D100" s="81">
        <f>IF(C100="","",IFERROR(INDEX(Lists!$O$2:$O$13,MATCH(C100,Lists!$N$2:$N$13,0)),"Check domain code"))</f>
        <v/>
      </c>
      <c r="E100" s="81">
        <f>IF(C100="","",IFERROR(INDEX(Lists!$P$2:$P$13,MATCH(C100,Lists!$N$2:$N$13,0)),""))</f>
        <v/>
      </c>
      <c r="F100" s="80" t="n"/>
      <c r="G100" s="82" t="n"/>
      <c r="H100" s="82" t="n"/>
      <c r="I100" s="82" t="n"/>
      <c r="J100" s="93" t="n"/>
      <c r="K100" s="82" t="n"/>
      <c r="L100" s="82" t="n"/>
      <c r="M100" s="94" t="n"/>
      <c r="N100" s="21" t="n"/>
      <c r="O100" s="82" t="n"/>
      <c r="P100" s="85" t="n"/>
      <c r="Q100" s="85" t="n"/>
      <c r="R100" s="85" t="n"/>
      <c r="S100" s="21">
        <f>IF(OR(Q100="",R100=""),"",Q100*R100)</f>
        <v/>
      </c>
      <c r="T100" s="21">
        <f>IF(S100="","",INDEX(Settings!$A$20:$A$23,MATCH(S100,Settings!$B$20:$B$23,1)))</f>
        <v/>
      </c>
      <c r="U100" s="82" t="n"/>
      <c r="V100" s="86" t="n"/>
      <c r="W100" s="85" t="n"/>
      <c r="X100" s="82" t="n"/>
      <c r="Y100" s="95" t="n"/>
      <c r="Z100" s="95" t="n"/>
      <c r="AA100" s="95" t="n"/>
      <c r="AB100" s="95" t="n"/>
      <c r="AC100" s="95" t="n"/>
      <c r="AD100" s="95" t="n"/>
      <c r="AE100" s="95" t="n"/>
      <c r="AF100" s="95" t="n"/>
      <c r="AG100" s="95" t="n"/>
      <c r="AH100" s="95" t="n"/>
      <c r="AI100" s="95" t="n"/>
      <c r="AJ100" s="96" t="n"/>
      <c r="AK100" s="95" t="n"/>
      <c r="AL100" s="95" t="n"/>
      <c r="AM100" s="95" t="n"/>
      <c r="AN100" s="95" t="n"/>
      <c r="AO100" s="95" t="n"/>
      <c r="AP100" s="95" t="n"/>
      <c r="AQ100" s="96" t="n"/>
      <c r="AR100" s="96" t="n"/>
      <c r="AS100" s="85" t="n"/>
      <c r="AT100" s="85" t="n"/>
      <c r="AU100" s="21">
        <f>IF(OR(AS100="",AT100=""),"",AS100*AT100)</f>
        <v/>
      </c>
      <c r="AV100" s="21">
        <f>IF(AU100="","",INDEX(Settings!$A$20:$A$23,MATCH(AU100,Settings!$B$20:$B$23,1)))</f>
        <v/>
      </c>
      <c r="AW100" s="21">
        <f>IF(AV100&lt;&gt;"",AV100,T100)</f>
        <v/>
      </c>
      <c r="AX100" s="21">
        <f>IF(AW100="","",IF(MATCH(AW100,Settings!$A$20:$A$23,0)&lt;=MATCH(Settings!$C$28,Settings!$A$20:$A$23,0),"Yes","No"))</f>
        <v/>
      </c>
      <c r="AY100" s="81">
        <f>IF(AW100="","",IF(AX100="Yes",INDEX(Settings!$G$20:$G$23,MATCH(AW100,Settings!$A$20:$A$23,0)),INDEX(Settings!$G$20:$G$23,MATCH(AW100,Settings!$A$20:$A$23,0))&amp;" (outside appetite)"))</f>
        <v/>
      </c>
      <c r="AZ100" s="82" t="n"/>
      <c r="BA100" s="82" t="n"/>
      <c r="BB100" s="89" t="n"/>
      <c r="BC100" s="90">
        <f>IF(OR(BB100="",T100=""),"",BB100+INDEX(Settings!$E$20:$E$23,MATCH(T100,Settings!$A$20:$A$23,0)))</f>
        <v/>
      </c>
      <c r="BD100" s="89" t="n"/>
      <c r="BE100" s="82" t="n"/>
      <c r="BF100" s="81">
        <f>IF(A100="","",IF(OR(BE100="Closed",BE100="Accepted"),"No action",IF(BB100="","Set date identified",IF(TODAY()&gt;BC100,"Deadline exceeded",IF(BC100-TODAY()&lt;=Settings!$C$30,"Deadline approaching","On track")))))</f>
        <v/>
      </c>
      <c r="BG100" s="89" t="n"/>
      <c r="BH100" s="89" t="n"/>
      <c r="BI100" s="90">
        <f>IF(OR(BH100="",AW100=""),"",EDATE(BH100,INDEX(Settings!$F$20:$F$23,MATCH(AW100,Settings!$A$20:$A$23,0))))</f>
        <v/>
      </c>
      <c r="BJ100" s="21">
        <f>IF(T100="","",IF(MAX(IF(T100="",0,MATCH(T100,Settings!$A$20:$A$23,0)),IF(AV100="",0,MATCH(AV100,Settings!$A$20:$A$23,0)))&gt;=MATCH(Settings!$C$29,Settings!$A$20:$A$23,0),"Yes","No"))</f>
        <v/>
      </c>
      <c r="BK100" s="82" t="n"/>
      <c r="BL100" s="81">
        <f>IF(A100="","",IF(TRIM(IF(W100="","Treatment not chosen. ","")&amp;IF(AND(W100="Accept",AX100="No"),"Accepted outside appetite: record approval by "&amp;INDEX(Settings!$G$20:$G$23,MATCH(AW100,Settings!$A$20:$A$23,0))&amp;". ","")&amp;IF(AND(W100="Accept",BG100=""),"Acceptance expiry missing. ","")&amp;IF(AND(BG100&lt;&gt;"",BG100&lt;TODAY()),"Acceptance expired. ","")&amp;IF(AND(W100&lt;&gt;"",W100&lt;&gt;"Accept",AV100=""),"Target rating not set. ","")&amp;IF(AND(BE100="Closed",AX100="No"),"Closed while outside appetite. ","")&amp;IF(AND(W100="Transfer",BE100&lt;&gt;"Transferred",BE100&lt;&gt;"Closed"),"Transfer: record the contract, SLA and audit rights. ","")&amp;IF(AZ100="","Risk owner missing. ","")&amp;IF(K100="","Scenario not written. ",""))="","OK",TRIM(IF(W100="","Treatment not chosen. ","")&amp;IF(AND(W100="Accept",AX100="No"),"Accepted outside appetite: record approval by "&amp;INDEX(Settings!$G$20:$G$23,MATCH(AW100,Settings!$A$20:$A$23,0))&amp;". ","")&amp;IF(AND(W100="Accept",BG100=""),"Acceptance expiry missing. ","")&amp;IF(AND(BG100&lt;&gt;"",BG100&lt;TODAY()),"Acceptance expired. ","")&amp;IF(AND(W100&lt;&gt;"",W100&lt;&gt;"Accept",AV100=""),"Target rating not set. ","")&amp;IF(AND(BE100="Closed",AX100="No"),"Closed while outside appetite. ","")&amp;IF(AND(W100="Transfer",BE100&lt;&gt;"Transferred",BE100&lt;&gt;"Closed"),"Transfer: record the contract, SLA and audit rights. ","")&amp;IF(AZ100="","Risk owner missing. ","")&amp;IF(K100="","Scenario not written. ",""))))</f>
        <v/>
      </c>
      <c r="BM100" s="82" t="n"/>
    </row>
    <row r="101">
      <c r="A101" s="84" t="n"/>
      <c r="B101" s="83" t="n"/>
      <c r="C101" s="80" t="n"/>
      <c r="D101" s="81">
        <f>IF(C101="","",IFERROR(INDEX(Lists!$O$2:$O$13,MATCH(C101,Lists!$N$2:$N$13,0)),"Check domain code"))</f>
        <v/>
      </c>
      <c r="E101" s="81">
        <f>IF(C101="","",IFERROR(INDEX(Lists!$P$2:$P$13,MATCH(C101,Lists!$N$2:$N$13,0)),""))</f>
        <v/>
      </c>
      <c r="F101" s="80" t="n"/>
      <c r="G101" s="82" t="n"/>
      <c r="H101" s="82" t="n"/>
      <c r="I101" s="82" t="n"/>
      <c r="J101" s="83" t="n"/>
      <c r="K101" s="82" t="n"/>
      <c r="L101" s="82" t="n"/>
      <c r="M101" s="84" t="n"/>
      <c r="N101" s="21" t="n"/>
      <c r="O101" s="82" t="n"/>
      <c r="P101" s="85" t="n"/>
      <c r="Q101" s="85" t="n"/>
      <c r="R101" s="85" t="n"/>
      <c r="S101" s="21">
        <f>IF(OR(Q101="",R101=""),"",Q101*R101)</f>
        <v/>
      </c>
      <c r="T101" s="21">
        <f>IF(S101="","",INDEX(Settings!$A$20:$A$23,MATCH(S101,Settings!$B$20:$B$23,1)))</f>
        <v/>
      </c>
      <c r="U101" s="82" t="n"/>
      <c r="V101" s="86" t="n"/>
      <c r="W101" s="85" t="n"/>
      <c r="X101" s="82" t="n"/>
      <c r="Y101" s="87" t="n"/>
      <c r="Z101" s="87" t="n"/>
      <c r="AA101" s="87" t="n"/>
      <c r="AB101" s="87" t="n"/>
      <c r="AC101" s="87" t="n"/>
      <c r="AD101" s="87" t="n"/>
      <c r="AE101" s="87" t="n"/>
      <c r="AF101" s="87" t="n"/>
      <c r="AG101" s="87" t="n"/>
      <c r="AH101" s="87" t="n"/>
      <c r="AI101" s="87" t="n"/>
      <c r="AJ101" s="88" t="n"/>
      <c r="AK101" s="87" t="n"/>
      <c r="AL101" s="87" t="n"/>
      <c r="AM101" s="87" t="n"/>
      <c r="AN101" s="87" t="n"/>
      <c r="AO101" s="87" t="n"/>
      <c r="AP101" s="87" t="n"/>
      <c r="AQ101" s="88" t="n"/>
      <c r="AR101" s="88" t="n"/>
      <c r="AS101" s="85" t="n"/>
      <c r="AT101" s="85" t="n"/>
      <c r="AU101" s="21">
        <f>IF(OR(AS101="",AT101=""),"",AS101*AT101)</f>
        <v/>
      </c>
      <c r="AV101" s="21">
        <f>IF(AU101="","",INDEX(Settings!$A$20:$A$23,MATCH(AU101,Settings!$B$20:$B$23,1)))</f>
        <v/>
      </c>
      <c r="AW101" s="21">
        <f>IF(AV101&lt;&gt;"",AV101,T101)</f>
        <v/>
      </c>
      <c r="AX101" s="21">
        <f>IF(AW101="","",IF(MATCH(AW101,Settings!$A$20:$A$23,0)&lt;=MATCH(Settings!$C$28,Settings!$A$20:$A$23,0),"Yes","No"))</f>
        <v/>
      </c>
      <c r="AY101" s="81">
        <f>IF(AW101="","",IF(AX101="Yes",INDEX(Settings!$G$20:$G$23,MATCH(AW101,Settings!$A$20:$A$23,0)),INDEX(Settings!$G$20:$G$23,MATCH(AW101,Settings!$A$20:$A$23,0))&amp;" (outside appetite)"))</f>
        <v/>
      </c>
      <c r="AZ101" s="82" t="n"/>
      <c r="BA101" s="82" t="n"/>
      <c r="BB101" s="89" t="n"/>
      <c r="BC101" s="90">
        <f>IF(OR(BB101="",T101=""),"",BB101+INDEX(Settings!$E$20:$E$23,MATCH(T101,Settings!$A$20:$A$23,0)))</f>
        <v/>
      </c>
      <c r="BD101" s="89" t="n"/>
      <c r="BE101" s="82" t="n"/>
      <c r="BF101" s="81">
        <f>IF(A101="","",IF(OR(BE101="Closed",BE101="Accepted"),"No action",IF(BB101="","Set date identified",IF(TODAY()&gt;BC101,"Deadline exceeded",IF(BC101-TODAY()&lt;=Settings!$C$30,"Deadline approaching","On track")))))</f>
        <v/>
      </c>
      <c r="BG101" s="89" t="n"/>
      <c r="BH101" s="89" t="n"/>
      <c r="BI101" s="90">
        <f>IF(OR(BH101="",AW101=""),"",EDATE(BH101,INDEX(Settings!$F$20:$F$23,MATCH(AW101,Settings!$A$20:$A$23,0))))</f>
        <v/>
      </c>
      <c r="BJ101" s="21">
        <f>IF(T101="","",IF(MAX(IF(T101="",0,MATCH(T101,Settings!$A$20:$A$23,0)),IF(AV101="",0,MATCH(AV101,Settings!$A$20:$A$23,0)))&gt;=MATCH(Settings!$C$29,Settings!$A$20:$A$23,0),"Yes","No"))</f>
        <v/>
      </c>
      <c r="BK101" s="82" t="n"/>
      <c r="BL101" s="81">
        <f>IF(A101="","",IF(TRIM(IF(W101="","Treatment not chosen. ","")&amp;IF(AND(W101="Accept",AX101="No"),"Accepted outside appetite: record approval by "&amp;INDEX(Settings!$G$20:$G$23,MATCH(AW101,Settings!$A$20:$A$23,0))&amp;". ","")&amp;IF(AND(W101="Accept",BG101=""),"Acceptance expiry missing. ","")&amp;IF(AND(BG101&lt;&gt;"",BG101&lt;TODAY()),"Acceptance expired. ","")&amp;IF(AND(W101&lt;&gt;"",W101&lt;&gt;"Accept",AV101=""),"Target rating not set. ","")&amp;IF(AND(BE101="Closed",AX101="No"),"Closed while outside appetite. ","")&amp;IF(AND(W101="Transfer",BE101&lt;&gt;"Transferred",BE101&lt;&gt;"Closed"),"Transfer: record the contract, SLA and audit rights. ","")&amp;IF(AZ101="","Risk owner missing. ","")&amp;IF(K101="","Scenario not written. ",""))="","OK",TRIM(IF(W101="","Treatment not chosen. ","")&amp;IF(AND(W101="Accept",AX101="No"),"Accepted outside appetite: record approval by "&amp;INDEX(Settings!$G$20:$G$23,MATCH(AW101,Settings!$A$20:$A$23,0))&amp;". ","")&amp;IF(AND(W101="Accept",BG101=""),"Acceptance expiry missing. ","")&amp;IF(AND(BG101&lt;&gt;"",BG101&lt;TODAY()),"Acceptance expired. ","")&amp;IF(AND(W101&lt;&gt;"",W101&lt;&gt;"Accept",AV101=""),"Target rating not set. ","")&amp;IF(AND(BE101="Closed",AX101="No"),"Closed while outside appetite. ","")&amp;IF(AND(W101="Transfer",BE101&lt;&gt;"Transferred",BE101&lt;&gt;"Closed"),"Transfer: record the contract, SLA and audit rights. ","")&amp;IF(AZ101="","Risk owner missing. ","")&amp;IF(K101="","Scenario not written. ",""))))</f>
        <v/>
      </c>
      <c r="BM101" s="82" t="n"/>
    </row>
    <row r="102">
      <c r="A102" s="94" t="n"/>
      <c r="B102" s="93" t="n"/>
      <c r="C102" s="80" t="n"/>
      <c r="D102" s="81">
        <f>IF(C102="","",IFERROR(INDEX(Lists!$O$2:$O$13,MATCH(C102,Lists!$N$2:$N$13,0)),"Check domain code"))</f>
        <v/>
      </c>
      <c r="E102" s="81">
        <f>IF(C102="","",IFERROR(INDEX(Lists!$P$2:$P$13,MATCH(C102,Lists!$N$2:$N$13,0)),""))</f>
        <v/>
      </c>
      <c r="F102" s="80" t="n"/>
      <c r="G102" s="82" t="n"/>
      <c r="H102" s="82" t="n"/>
      <c r="I102" s="82" t="n"/>
      <c r="J102" s="93" t="n"/>
      <c r="K102" s="82" t="n"/>
      <c r="L102" s="82" t="n"/>
      <c r="M102" s="94" t="n"/>
      <c r="N102" s="21" t="n"/>
      <c r="O102" s="82" t="n"/>
      <c r="P102" s="85" t="n"/>
      <c r="Q102" s="85" t="n"/>
      <c r="R102" s="85" t="n"/>
      <c r="S102" s="21">
        <f>IF(OR(Q102="",R102=""),"",Q102*R102)</f>
        <v/>
      </c>
      <c r="T102" s="21">
        <f>IF(S102="","",INDEX(Settings!$A$20:$A$23,MATCH(S102,Settings!$B$20:$B$23,1)))</f>
        <v/>
      </c>
      <c r="U102" s="82" t="n"/>
      <c r="V102" s="86" t="n"/>
      <c r="W102" s="85" t="n"/>
      <c r="X102" s="82" t="n"/>
      <c r="Y102" s="95" t="n"/>
      <c r="Z102" s="95" t="n"/>
      <c r="AA102" s="95" t="n"/>
      <c r="AB102" s="95" t="n"/>
      <c r="AC102" s="95" t="n"/>
      <c r="AD102" s="95" t="n"/>
      <c r="AE102" s="95" t="n"/>
      <c r="AF102" s="95" t="n"/>
      <c r="AG102" s="95" t="n"/>
      <c r="AH102" s="95" t="n"/>
      <c r="AI102" s="95" t="n"/>
      <c r="AJ102" s="96" t="n"/>
      <c r="AK102" s="95" t="n"/>
      <c r="AL102" s="95" t="n"/>
      <c r="AM102" s="95" t="n"/>
      <c r="AN102" s="95" t="n"/>
      <c r="AO102" s="95" t="n"/>
      <c r="AP102" s="95" t="n"/>
      <c r="AQ102" s="96" t="n"/>
      <c r="AR102" s="96" t="n"/>
      <c r="AS102" s="85" t="n"/>
      <c r="AT102" s="85" t="n"/>
      <c r="AU102" s="21">
        <f>IF(OR(AS102="",AT102=""),"",AS102*AT102)</f>
        <v/>
      </c>
      <c r="AV102" s="21">
        <f>IF(AU102="","",INDEX(Settings!$A$20:$A$23,MATCH(AU102,Settings!$B$20:$B$23,1)))</f>
        <v/>
      </c>
      <c r="AW102" s="21">
        <f>IF(AV102&lt;&gt;"",AV102,T102)</f>
        <v/>
      </c>
      <c r="AX102" s="21">
        <f>IF(AW102="","",IF(MATCH(AW102,Settings!$A$20:$A$23,0)&lt;=MATCH(Settings!$C$28,Settings!$A$20:$A$23,0),"Yes","No"))</f>
        <v/>
      </c>
      <c r="AY102" s="81">
        <f>IF(AW102="","",IF(AX102="Yes",INDEX(Settings!$G$20:$G$23,MATCH(AW102,Settings!$A$20:$A$23,0)),INDEX(Settings!$G$20:$G$23,MATCH(AW102,Settings!$A$20:$A$23,0))&amp;" (outside appetite)"))</f>
        <v/>
      </c>
      <c r="AZ102" s="82" t="n"/>
      <c r="BA102" s="82" t="n"/>
      <c r="BB102" s="89" t="n"/>
      <c r="BC102" s="90">
        <f>IF(OR(BB102="",T102=""),"",BB102+INDEX(Settings!$E$20:$E$23,MATCH(T102,Settings!$A$20:$A$23,0)))</f>
        <v/>
      </c>
      <c r="BD102" s="89" t="n"/>
      <c r="BE102" s="82" t="n"/>
      <c r="BF102" s="81">
        <f>IF(A102="","",IF(OR(BE102="Closed",BE102="Accepted"),"No action",IF(BB102="","Set date identified",IF(TODAY()&gt;BC102,"Deadline exceeded",IF(BC102-TODAY()&lt;=Settings!$C$30,"Deadline approaching","On track")))))</f>
        <v/>
      </c>
      <c r="BG102" s="89" t="n"/>
      <c r="BH102" s="89" t="n"/>
      <c r="BI102" s="90">
        <f>IF(OR(BH102="",AW102=""),"",EDATE(BH102,INDEX(Settings!$F$20:$F$23,MATCH(AW102,Settings!$A$20:$A$23,0))))</f>
        <v/>
      </c>
      <c r="BJ102" s="21">
        <f>IF(T102="","",IF(MAX(IF(T102="",0,MATCH(T102,Settings!$A$20:$A$23,0)),IF(AV102="",0,MATCH(AV102,Settings!$A$20:$A$23,0)))&gt;=MATCH(Settings!$C$29,Settings!$A$20:$A$23,0),"Yes","No"))</f>
        <v/>
      </c>
      <c r="BK102" s="82" t="n"/>
      <c r="BL102" s="81">
        <f>IF(A102="","",IF(TRIM(IF(W102="","Treatment not chosen. ","")&amp;IF(AND(W102="Accept",AX102="No"),"Accepted outside appetite: record approval by "&amp;INDEX(Settings!$G$20:$G$23,MATCH(AW102,Settings!$A$20:$A$23,0))&amp;". ","")&amp;IF(AND(W102="Accept",BG102=""),"Acceptance expiry missing. ","")&amp;IF(AND(BG102&lt;&gt;"",BG102&lt;TODAY()),"Acceptance expired. ","")&amp;IF(AND(W102&lt;&gt;"",W102&lt;&gt;"Accept",AV102=""),"Target rating not set. ","")&amp;IF(AND(BE102="Closed",AX102="No"),"Closed while outside appetite. ","")&amp;IF(AND(W102="Transfer",BE102&lt;&gt;"Transferred",BE102&lt;&gt;"Closed"),"Transfer: record the contract, SLA and audit rights. ","")&amp;IF(AZ102="","Risk owner missing. ","")&amp;IF(K102="","Scenario not written. ",""))="","OK",TRIM(IF(W102="","Treatment not chosen. ","")&amp;IF(AND(W102="Accept",AX102="No"),"Accepted outside appetite: record approval by "&amp;INDEX(Settings!$G$20:$G$23,MATCH(AW102,Settings!$A$20:$A$23,0))&amp;". ","")&amp;IF(AND(W102="Accept",BG102=""),"Acceptance expiry missing. ","")&amp;IF(AND(BG102&lt;&gt;"",BG102&lt;TODAY()),"Acceptance expired. ","")&amp;IF(AND(W102&lt;&gt;"",W102&lt;&gt;"Accept",AV102=""),"Target rating not set. ","")&amp;IF(AND(BE102="Closed",AX102="No"),"Closed while outside appetite. ","")&amp;IF(AND(W102="Transfer",BE102&lt;&gt;"Transferred",BE102&lt;&gt;"Closed"),"Transfer: record the contract, SLA and audit rights. ","")&amp;IF(AZ102="","Risk owner missing. ","")&amp;IF(K102="","Scenario not written. ",""))))</f>
        <v/>
      </c>
      <c r="BM102" s="82" t="n"/>
    </row>
    <row r="103">
      <c r="A103" s="84" t="n"/>
      <c r="B103" s="83" t="n"/>
      <c r="C103" s="80" t="n"/>
      <c r="D103" s="81">
        <f>IF(C103="","",IFERROR(INDEX(Lists!$O$2:$O$13,MATCH(C103,Lists!$N$2:$N$13,0)),"Check domain code"))</f>
        <v/>
      </c>
      <c r="E103" s="81">
        <f>IF(C103="","",IFERROR(INDEX(Lists!$P$2:$P$13,MATCH(C103,Lists!$N$2:$N$13,0)),""))</f>
        <v/>
      </c>
      <c r="F103" s="80" t="n"/>
      <c r="G103" s="82" t="n"/>
      <c r="H103" s="82" t="n"/>
      <c r="I103" s="82" t="n"/>
      <c r="J103" s="83" t="n"/>
      <c r="K103" s="82" t="n"/>
      <c r="L103" s="82" t="n"/>
      <c r="M103" s="84" t="n"/>
      <c r="N103" s="21" t="n"/>
      <c r="O103" s="82" t="n"/>
      <c r="P103" s="85" t="n"/>
      <c r="Q103" s="85" t="n"/>
      <c r="R103" s="85" t="n"/>
      <c r="S103" s="21">
        <f>IF(OR(Q103="",R103=""),"",Q103*R103)</f>
        <v/>
      </c>
      <c r="T103" s="21">
        <f>IF(S103="","",INDEX(Settings!$A$20:$A$23,MATCH(S103,Settings!$B$20:$B$23,1)))</f>
        <v/>
      </c>
      <c r="U103" s="82" t="n"/>
      <c r="V103" s="86" t="n"/>
      <c r="W103" s="85" t="n"/>
      <c r="X103" s="82" t="n"/>
      <c r="Y103" s="87" t="n"/>
      <c r="Z103" s="87" t="n"/>
      <c r="AA103" s="87" t="n"/>
      <c r="AB103" s="87" t="n"/>
      <c r="AC103" s="87" t="n"/>
      <c r="AD103" s="87" t="n"/>
      <c r="AE103" s="87" t="n"/>
      <c r="AF103" s="87" t="n"/>
      <c r="AG103" s="87" t="n"/>
      <c r="AH103" s="87" t="n"/>
      <c r="AI103" s="87" t="n"/>
      <c r="AJ103" s="88" t="n"/>
      <c r="AK103" s="87" t="n"/>
      <c r="AL103" s="87" t="n"/>
      <c r="AM103" s="87" t="n"/>
      <c r="AN103" s="87" t="n"/>
      <c r="AO103" s="87" t="n"/>
      <c r="AP103" s="87" t="n"/>
      <c r="AQ103" s="88" t="n"/>
      <c r="AR103" s="88" t="n"/>
      <c r="AS103" s="85" t="n"/>
      <c r="AT103" s="85" t="n"/>
      <c r="AU103" s="21">
        <f>IF(OR(AS103="",AT103=""),"",AS103*AT103)</f>
        <v/>
      </c>
      <c r="AV103" s="21">
        <f>IF(AU103="","",INDEX(Settings!$A$20:$A$23,MATCH(AU103,Settings!$B$20:$B$23,1)))</f>
        <v/>
      </c>
      <c r="AW103" s="21">
        <f>IF(AV103&lt;&gt;"",AV103,T103)</f>
        <v/>
      </c>
      <c r="AX103" s="21">
        <f>IF(AW103="","",IF(MATCH(AW103,Settings!$A$20:$A$23,0)&lt;=MATCH(Settings!$C$28,Settings!$A$20:$A$23,0),"Yes","No"))</f>
        <v/>
      </c>
      <c r="AY103" s="81">
        <f>IF(AW103="","",IF(AX103="Yes",INDEX(Settings!$G$20:$G$23,MATCH(AW103,Settings!$A$20:$A$23,0)),INDEX(Settings!$G$20:$G$23,MATCH(AW103,Settings!$A$20:$A$23,0))&amp;" (outside appetite)"))</f>
        <v/>
      </c>
      <c r="AZ103" s="82" t="n"/>
      <c r="BA103" s="82" t="n"/>
      <c r="BB103" s="89" t="n"/>
      <c r="BC103" s="90">
        <f>IF(OR(BB103="",T103=""),"",BB103+INDEX(Settings!$E$20:$E$23,MATCH(T103,Settings!$A$20:$A$23,0)))</f>
        <v/>
      </c>
      <c r="BD103" s="89" t="n"/>
      <c r="BE103" s="82" t="n"/>
      <c r="BF103" s="81">
        <f>IF(A103="","",IF(OR(BE103="Closed",BE103="Accepted"),"No action",IF(BB103="","Set date identified",IF(TODAY()&gt;BC103,"Deadline exceeded",IF(BC103-TODAY()&lt;=Settings!$C$30,"Deadline approaching","On track")))))</f>
        <v/>
      </c>
      <c r="BG103" s="89" t="n"/>
      <c r="BH103" s="89" t="n"/>
      <c r="BI103" s="90">
        <f>IF(OR(BH103="",AW103=""),"",EDATE(BH103,INDEX(Settings!$F$20:$F$23,MATCH(AW103,Settings!$A$20:$A$23,0))))</f>
        <v/>
      </c>
      <c r="BJ103" s="21">
        <f>IF(T103="","",IF(MAX(IF(T103="",0,MATCH(T103,Settings!$A$20:$A$23,0)),IF(AV103="",0,MATCH(AV103,Settings!$A$20:$A$23,0)))&gt;=MATCH(Settings!$C$29,Settings!$A$20:$A$23,0),"Yes","No"))</f>
        <v/>
      </c>
      <c r="BK103" s="82" t="n"/>
      <c r="BL103" s="81">
        <f>IF(A103="","",IF(TRIM(IF(W103="","Treatment not chosen. ","")&amp;IF(AND(W103="Accept",AX103="No"),"Accepted outside appetite: record approval by "&amp;INDEX(Settings!$G$20:$G$23,MATCH(AW103,Settings!$A$20:$A$23,0))&amp;". ","")&amp;IF(AND(W103="Accept",BG103=""),"Acceptance expiry missing. ","")&amp;IF(AND(BG103&lt;&gt;"",BG103&lt;TODAY()),"Acceptance expired. ","")&amp;IF(AND(W103&lt;&gt;"",W103&lt;&gt;"Accept",AV103=""),"Target rating not set. ","")&amp;IF(AND(BE103="Closed",AX103="No"),"Closed while outside appetite. ","")&amp;IF(AND(W103="Transfer",BE103&lt;&gt;"Transferred",BE103&lt;&gt;"Closed"),"Transfer: record the contract, SLA and audit rights. ","")&amp;IF(AZ103="","Risk owner missing. ","")&amp;IF(K103="","Scenario not written. ",""))="","OK",TRIM(IF(W103="","Treatment not chosen. ","")&amp;IF(AND(W103="Accept",AX103="No"),"Accepted outside appetite: record approval by "&amp;INDEX(Settings!$G$20:$G$23,MATCH(AW103,Settings!$A$20:$A$23,0))&amp;". ","")&amp;IF(AND(W103="Accept",BG103=""),"Acceptance expiry missing. ","")&amp;IF(AND(BG103&lt;&gt;"",BG103&lt;TODAY()),"Acceptance expired. ","")&amp;IF(AND(W103&lt;&gt;"",W103&lt;&gt;"Accept",AV103=""),"Target rating not set. ","")&amp;IF(AND(BE103="Closed",AX103="No"),"Closed while outside appetite. ","")&amp;IF(AND(W103="Transfer",BE103&lt;&gt;"Transferred",BE103&lt;&gt;"Closed"),"Transfer: record the contract, SLA and audit rights. ","")&amp;IF(AZ103="","Risk owner missing. ","")&amp;IF(K103="","Scenario not written. ",""))))</f>
        <v/>
      </c>
      <c r="BM103" s="82" t="n"/>
    </row>
    <row r="104">
      <c r="A104" s="94" t="n"/>
      <c r="B104" s="93" t="n"/>
      <c r="C104" s="80" t="n"/>
      <c r="D104" s="81">
        <f>IF(C104="","",IFERROR(INDEX(Lists!$O$2:$O$13,MATCH(C104,Lists!$N$2:$N$13,0)),"Check domain code"))</f>
        <v/>
      </c>
      <c r="E104" s="81">
        <f>IF(C104="","",IFERROR(INDEX(Lists!$P$2:$P$13,MATCH(C104,Lists!$N$2:$N$13,0)),""))</f>
        <v/>
      </c>
      <c r="F104" s="80" t="n"/>
      <c r="G104" s="82" t="n"/>
      <c r="H104" s="82" t="n"/>
      <c r="I104" s="82" t="n"/>
      <c r="J104" s="93" t="n"/>
      <c r="K104" s="82" t="n"/>
      <c r="L104" s="82" t="n"/>
      <c r="M104" s="94" t="n"/>
      <c r="N104" s="21" t="n"/>
      <c r="O104" s="82" t="n"/>
      <c r="P104" s="85" t="n"/>
      <c r="Q104" s="85" t="n"/>
      <c r="R104" s="85" t="n"/>
      <c r="S104" s="21">
        <f>IF(OR(Q104="",R104=""),"",Q104*R104)</f>
        <v/>
      </c>
      <c r="T104" s="21">
        <f>IF(S104="","",INDEX(Settings!$A$20:$A$23,MATCH(S104,Settings!$B$20:$B$23,1)))</f>
        <v/>
      </c>
      <c r="U104" s="82" t="n"/>
      <c r="V104" s="86" t="n"/>
      <c r="W104" s="85" t="n"/>
      <c r="X104" s="82" t="n"/>
      <c r="Y104" s="95" t="n"/>
      <c r="Z104" s="95" t="n"/>
      <c r="AA104" s="95" t="n"/>
      <c r="AB104" s="95" t="n"/>
      <c r="AC104" s="95" t="n"/>
      <c r="AD104" s="95" t="n"/>
      <c r="AE104" s="95" t="n"/>
      <c r="AF104" s="95" t="n"/>
      <c r="AG104" s="95" t="n"/>
      <c r="AH104" s="95" t="n"/>
      <c r="AI104" s="95" t="n"/>
      <c r="AJ104" s="96" t="n"/>
      <c r="AK104" s="95" t="n"/>
      <c r="AL104" s="95" t="n"/>
      <c r="AM104" s="95" t="n"/>
      <c r="AN104" s="95" t="n"/>
      <c r="AO104" s="95" t="n"/>
      <c r="AP104" s="95" t="n"/>
      <c r="AQ104" s="96" t="n"/>
      <c r="AR104" s="96" t="n"/>
      <c r="AS104" s="85" t="n"/>
      <c r="AT104" s="85" t="n"/>
      <c r="AU104" s="21">
        <f>IF(OR(AS104="",AT104=""),"",AS104*AT104)</f>
        <v/>
      </c>
      <c r="AV104" s="21">
        <f>IF(AU104="","",INDEX(Settings!$A$20:$A$23,MATCH(AU104,Settings!$B$20:$B$23,1)))</f>
        <v/>
      </c>
      <c r="AW104" s="21">
        <f>IF(AV104&lt;&gt;"",AV104,T104)</f>
        <v/>
      </c>
      <c r="AX104" s="21">
        <f>IF(AW104="","",IF(MATCH(AW104,Settings!$A$20:$A$23,0)&lt;=MATCH(Settings!$C$28,Settings!$A$20:$A$23,0),"Yes","No"))</f>
        <v/>
      </c>
      <c r="AY104" s="81">
        <f>IF(AW104="","",IF(AX104="Yes",INDEX(Settings!$G$20:$G$23,MATCH(AW104,Settings!$A$20:$A$23,0)),INDEX(Settings!$G$20:$G$23,MATCH(AW104,Settings!$A$20:$A$23,0))&amp;" (outside appetite)"))</f>
        <v/>
      </c>
      <c r="AZ104" s="82" t="n"/>
      <c r="BA104" s="82" t="n"/>
      <c r="BB104" s="89" t="n"/>
      <c r="BC104" s="90">
        <f>IF(OR(BB104="",T104=""),"",BB104+INDEX(Settings!$E$20:$E$23,MATCH(T104,Settings!$A$20:$A$23,0)))</f>
        <v/>
      </c>
      <c r="BD104" s="89" t="n"/>
      <c r="BE104" s="82" t="n"/>
      <c r="BF104" s="81">
        <f>IF(A104="","",IF(OR(BE104="Closed",BE104="Accepted"),"No action",IF(BB104="","Set date identified",IF(TODAY()&gt;BC104,"Deadline exceeded",IF(BC104-TODAY()&lt;=Settings!$C$30,"Deadline approaching","On track")))))</f>
        <v/>
      </c>
      <c r="BG104" s="89" t="n"/>
      <c r="BH104" s="89" t="n"/>
      <c r="BI104" s="90">
        <f>IF(OR(BH104="",AW104=""),"",EDATE(BH104,INDEX(Settings!$F$20:$F$23,MATCH(AW104,Settings!$A$20:$A$23,0))))</f>
        <v/>
      </c>
      <c r="BJ104" s="21">
        <f>IF(T104="","",IF(MAX(IF(T104="",0,MATCH(T104,Settings!$A$20:$A$23,0)),IF(AV104="",0,MATCH(AV104,Settings!$A$20:$A$23,0)))&gt;=MATCH(Settings!$C$29,Settings!$A$20:$A$23,0),"Yes","No"))</f>
        <v/>
      </c>
      <c r="BK104" s="82" t="n"/>
      <c r="BL104" s="81">
        <f>IF(A104="","",IF(TRIM(IF(W104="","Treatment not chosen. ","")&amp;IF(AND(W104="Accept",AX104="No"),"Accepted outside appetite: record approval by "&amp;INDEX(Settings!$G$20:$G$23,MATCH(AW104,Settings!$A$20:$A$23,0))&amp;". ","")&amp;IF(AND(W104="Accept",BG104=""),"Acceptance expiry missing. ","")&amp;IF(AND(BG104&lt;&gt;"",BG104&lt;TODAY()),"Acceptance expired. ","")&amp;IF(AND(W104&lt;&gt;"",W104&lt;&gt;"Accept",AV104=""),"Target rating not set. ","")&amp;IF(AND(BE104="Closed",AX104="No"),"Closed while outside appetite. ","")&amp;IF(AND(W104="Transfer",BE104&lt;&gt;"Transferred",BE104&lt;&gt;"Closed"),"Transfer: record the contract, SLA and audit rights. ","")&amp;IF(AZ104="","Risk owner missing. ","")&amp;IF(K104="","Scenario not written. ",""))="","OK",TRIM(IF(W104="","Treatment not chosen. ","")&amp;IF(AND(W104="Accept",AX104="No"),"Accepted outside appetite: record approval by "&amp;INDEX(Settings!$G$20:$G$23,MATCH(AW104,Settings!$A$20:$A$23,0))&amp;". ","")&amp;IF(AND(W104="Accept",BG104=""),"Acceptance expiry missing. ","")&amp;IF(AND(BG104&lt;&gt;"",BG104&lt;TODAY()),"Acceptance expired. ","")&amp;IF(AND(W104&lt;&gt;"",W104&lt;&gt;"Accept",AV104=""),"Target rating not set. ","")&amp;IF(AND(BE104="Closed",AX104="No"),"Closed while outside appetite. ","")&amp;IF(AND(W104="Transfer",BE104&lt;&gt;"Transferred",BE104&lt;&gt;"Closed"),"Transfer: record the contract, SLA and audit rights. ","")&amp;IF(AZ104="","Risk owner missing. ","")&amp;IF(K104="","Scenario not written. ",""))))</f>
        <v/>
      </c>
      <c r="BM104" s="82" t="n"/>
    </row>
    <row r="105">
      <c r="A105" s="84" t="n"/>
      <c r="B105" s="83" t="n"/>
      <c r="C105" s="80" t="n"/>
      <c r="D105" s="81">
        <f>IF(C105="","",IFERROR(INDEX(Lists!$O$2:$O$13,MATCH(C105,Lists!$N$2:$N$13,0)),"Check domain code"))</f>
        <v/>
      </c>
      <c r="E105" s="81">
        <f>IF(C105="","",IFERROR(INDEX(Lists!$P$2:$P$13,MATCH(C105,Lists!$N$2:$N$13,0)),""))</f>
        <v/>
      </c>
      <c r="F105" s="80" t="n"/>
      <c r="G105" s="82" t="n"/>
      <c r="H105" s="82" t="n"/>
      <c r="I105" s="82" t="n"/>
      <c r="J105" s="83" t="n"/>
      <c r="K105" s="82" t="n"/>
      <c r="L105" s="82" t="n"/>
      <c r="M105" s="84" t="n"/>
      <c r="N105" s="21" t="n"/>
      <c r="O105" s="82" t="n"/>
      <c r="P105" s="85" t="n"/>
      <c r="Q105" s="85" t="n"/>
      <c r="R105" s="85" t="n"/>
      <c r="S105" s="21">
        <f>IF(OR(Q105="",R105=""),"",Q105*R105)</f>
        <v/>
      </c>
      <c r="T105" s="21">
        <f>IF(S105="","",INDEX(Settings!$A$20:$A$23,MATCH(S105,Settings!$B$20:$B$23,1)))</f>
        <v/>
      </c>
      <c r="U105" s="82" t="n"/>
      <c r="V105" s="86" t="n"/>
      <c r="W105" s="85" t="n"/>
      <c r="X105" s="82" t="n"/>
      <c r="Y105" s="87" t="n"/>
      <c r="Z105" s="87" t="n"/>
      <c r="AA105" s="87" t="n"/>
      <c r="AB105" s="87" t="n"/>
      <c r="AC105" s="87" t="n"/>
      <c r="AD105" s="87" t="n"/>
      <c r="AE105" s="87" t="n"/>
      <c r="AF105" s="87" t="n"/>
      <c r="AG105" s="87" t="n"/>
      <c r="AH105" s="87" t="n"/>
      <c r="AI105" s="87" t="n"/>
      <c r="AJ105" s="88" t="n"/>
      <c r="AK105" s="87" t="n"/>
      <c r="AL105" s="87" t="n"/>
      <c r="AM105" s="87" t="n"/>
      <c r="AN105" s="87" t="n"/>
      <c r="AO105" s="87" t="n"/>
      <c r="AP105" s="87" t="n"/>
      <c r="AQ105" s="88" t="n"/>
      <c r="AR105" s="88" t="n"/>
      <c r="AS105" s="85" t="n"/>
      <c r="AT105" s="85" t="n"/>
      <c r="AU105" s="21">
        <f>IF(OR(AS105="",AT105=""),"",AS105*AT105)</f>
        <v/>
      </c>
      <c r="AV105" s="21">
        <f>IF(AU105="","",INDEX(Settings!$A$20:$A$23,MATCH(AU105,Settings!$B$20:$B$23,1)))</f>
        <v/>
      </c>
      <c r="AW105" s="21">
        <f>IF(AV105&lt;&gt;"",AV105,T105)</f>
        <v/>
      </c>
      <c r="AX105" s="21">
        <f>IF(AW105="","",IF(MATCH(AW105,Settings!$A$20:$A$23,0)&lt;=MATCH(Settings!$C$28,Settings!$A$20:$A$23,0),"Yes","No"))</f>
        <v/>
      </c>
      <c r="AY105" s="81">
        <f>IF(AW105="","",IF(AX105="Yes",INDEX(Settings!$G$20:$G$23,MATCH(AW105,Settings!$A$20:$A$23,0)),INDEX(Settings!$G$20:$G$23,MATCH(AW105,Settings!$A$20:$A$23,0))&amp;" (outside appetite)"))</f>
        <v/>
      </c>
      <c r="AZ105" s="82" t="n"/>
      <c r="BA105" s="82" t="n"/>
      <c r="BB105" s="89" t="n"/>
      <c r="BC105" s="90">
        <f>IF(OR(BB105="",T105=""),"",BB105+INDEX(Settings!$E$20:$E$23,MATCH(T105,Settings!$A$20:$A$23,0)))</f>
        <v/>
      </c>
      <c r="BD105" s="89" t="n"/>
      <c r="BE105" s="82" t="n"/>
      <c r="BF105" s="81">
        <f>IF(A105="","",IF(OR(BE105="Closed",BE105="Accepted"),"No action",IF(BB105="","Set date identified",IF(TODAY()&gt;BC105,"Deadline exceeded",IF(BC105-TODAY()&lt;=Settings!$C$30,"Deadline approaching","On track")))))</f>
        <v/>
      </c>
      <c r="BG105" s="89" t="n"/>
      <c r="BH105" s="89" t="n"/>
      <c r="BI105" s="90">
        <f>IF(OR(BH105="",AW105=""),"",EDATE(BH105,INDEX(Settings!$F$20:$F$23,MATCH(AW105,Settings!$A$20:$A$23,0))))</f>
        <v/>
      </c>
      <c r="BJ105" s="21">
        <f>IF(T105="","",IF(MAX(IF(T105="",0,MATCH(T105,Settings!$A$20:$A$23,0)),IF(AV105="",0,MATCH(AV105,Settings!$A$20:$A$23,0)))&gt;=MATCH(Settings!$C$29,Settings!$A$20:$A$23,0),"Yes","No"))</f>
        <v/>
      </c>
      <c r="BK105" s="82" t="n"/>
      <c r="BL105" s="81">
        <f>IF(A105="","",IF(TRIM(IF(W105="","Treatment not chosen. ","")&amp;IF(AND(W105="Accept",AX105="No"),"Accepted outside appetite: record approval by "&amp;INDEX(Settings!$G$20:$G$23,MATCH(AW105,Settings!$A$20:$A$23,0))&amp;". ","")&amp;IF(AND(W105="Accept",BG105=""),"Acceptance expiry missing. ","")&amp;IF(AND(BG105&lt;&gt;"",BG105&lt;TODAY()),"Acceptance expired. ","")&amp;IF(AND(W105&lt;&gt;"",W105&lt;&gt;"Accept",AV105=""),"Target rating not set. ","")&amp;IF(AND(BE105="Closed",AX105="No"),"Closed while outside appetite. ","")&amp;IF(AND(W105="Transfer",BE105&lt;&gt;"Transferred",BE105&lt;&gt;"Closed"),"Transfer: record the contract, SLA and audit rights. ","")&amp;IF(AZ105="","Risk owner missing. ","")&amp;IF(K105="","Scenario not written. ",""))="","OK",TRIM(IF(W105="","Treatment not chosen. ","")&amp;IF(AND(W105="Accept",AX105="No"),"Accepted outside appetite: record approval by "&amp;INDEX(Settings!$G$20:$G$23,MATCH(AW105,Settings!$A$20:$A$23,0))&amp;". ","")&amp;IF(AND(W105="Accept",BG105=""),"Acceptance expiry missing. ","")&amp;IF(AND(BG105&lt;&gt;"",BG105&lt;TODAY()),"Acceptance expired. ","")&amp;IF(AND(W105&lt;&gt;"",W105&lt;&gt;"Accept",AV105=""),"Target rating not set. ","")&amp;IF(AND(BE105="Closed",AX105="No"),"Closed while outside appetite. ","")&amp;IF(AND(W105="Transfer",BE105&lt;&gt;"Transferred",BE105&lt;&gt;"Closed"),"Transfer: record the contract, SLA and audit rights. ","")&amp;IF(AZ105="","Risk owner missing. ","")&amp;IF(K105="","Scenario not written. ",""))))</f>
        <v/>
      </c>
      <c r="BM105" s="82" t="n"/>
    </row>
    <row r="106">
      <c r="A106" s="94" t="n"/>
      <c r="B106" s="93" t="n"/>
      <c r="C106" s="80" t="n"/>
      <c r="D106" s="81">
        <f>IF(C106="","",IFERROR(INDEX(Lists!$O$2:$O$13,MATCH(C106,Lists!$N$2:$N$13,0)),"Check domain code"))</f>
        <v/>
      </c>
      <c r="E106" s="81">
        <f>IF(C106="","",IFERROR(INDEX(Lists!$P$2:$P$13,MATCH(C106,Lists!$N$2:$N$13,0)),""))</f>
        <v/>
      </c>
      <c r="F106" s="80" t="n"/>
      <c r="G106" s="82" t="n"/>
      <c r="H106" s="82" t="n"/>
      <c r="I106" s="82" t="n"/>
      <c r="J106" s="93" t="n"/>
      <c r="K106" s="82" t="n"/>
      <c r="L106" s="82" t="n"/>
      <c r="M106" s="94" t="n"/>
      <c r="N106" s="21" t="n"/>
      <c r="O106" s="82" t="n"/>
      <c r="P106" s="85" t="n"/>
      <c r="Q106" s="85" t="n"/>
      <c r="R106" s="85" t="n"/>
      <c r="S106" s="21">
        <f>IF(OR(Q106="",R106=""),"",Q106*R106)</f>
        <v/>
      </c>
      <c r="T106" s="21">
        <f>IF(S106="","",INDEX(Settings!$A$20:$A$23,MATCH(S106,Settings!$B$20:$B$23,1)))</f>
        <v/>
      </c>
      <c r="U106" s="82" t="n"/>
      <c r="V106" s="86" t="n"/>
      <c r="W106" s="85" t="n"/>
      <c r="X106" s="82" t="n"/>
      <c r="Y106" s="95" t="n"/>
      <c r="Z106" s="95" t="n"/>
      <c r="AA106" s="95" t="n"/>
      <c r="AB106" s="95" t="n"/>
      <c r="AC106" s="95" t="n"/>
      <c r="AD106" s="95" t="n"/>
      <c r="AE106" s="95" t="n"/>
      <c r="AF106" s="95" t="n"/>
      <c r="AG106" s="95" t="n"/>
      <c r="AH106" s="95" t="n"/>
      <c r="AI106" s="95" t="n"/>
      <c r="AJ106" s="96" t="n"/>
      <c r="AK106" s="95" t="n"/>
      <c r="AL106" s="95" t="n"/>
      <c r="AM106" s="95" t="n"/>
      <c r="AN106" s="95" t="n"/>
      <c r="AO106" s="95" t="n"/>
      <c r="AP106" s="95" t="n"/>
      <c r="AQ106" s="96" t="n"/>
      <c r="AR106" s="96" t="n"/>
      <c r="AS106" s="85" t="n"/>
      <c r="AT106" s="85" t="n"/>
      <c r="AU106" s="21">
        <f>IF(OR(AS106="",AT106=""),"",AS106*AT106)</f>
        <v/>
      </c>
      <c r="AV106" s="21">
        <f>IF(AU106="","",INDEX(Settings!$A$20:$A$23,MATCH(AU106,Settings!$B$20:$B$23,1)))</f>
        <v/>
      </c>
      <c r="AW106" s="21">
        <f>IF(AV106&lt;&gt;"",AV106,T106)</f>
        <v/>
      </c>
      <c r="AX106" s="21">
        <f>IF(AW106="","",IF(MATCH(AW106,Settings!$A$20:$A$23,0)&lt;=MATCH(Settings!$C$28,Settings!$A$20:$A$23,0),"Yes","No"))</f>
        <v/>
      </c>
      <c r="AY106" s="81">
        <f>IF(AW106="","",IF(AX106="Yes",INDEX(Settings!$G$20:$G$23,MATCH(AW106,Settings!$A$20:$A$23,0)),INDEX(Settings!$G$20:$G$23,MATCH(AW106,Settings!$A$20:$A$23,0))&amp;" (outside appetite)"))</f>
        <v/>
      </c>
      <c r="AZ106" s="82" t="n"/>
      <c r="BA106" s="82" t="n"/>
      <c r="BB106" s="89" t="n"/>
      <c r="BC106" s="90">
        <f>IF(OR(BB106="",T106=""),"",BB106+INDEX(Settings!$E$20:$E$23,MATCH(T106,Settings!$A$20:$A$23,0)))</f>
        <v/>
      </c>
      <c r="BD106" s="89" t="n"/>
      <c r="BE106" s="82" t="n"/>
      <c r="BF106" s="81">
        <f>IF(A106="","",IF(OR(BE106="Closed",BE106="Accepted"),"No action",IF(BB106="","Set date identified",IF(TODAY()&gt;BC106,"Deadline exceeded",IF(BC106-TODAY()&lt;=Settings!$C$30,"Deadline approaching","On track")))))</f>
        <v/>
      </c>
      <c r="BG106" s="89" t="n"/>
      <c r="BH106" s="89" t="n"/>
      <c r="BI106" s="90">
        <f>IF(OR(BH106="",AW106=""),"",EDATE(BH106,INDEX(Settings!$F$20:$F$23,MATCH(AW106,Settings!$A$20:$A$23,0))))</f>
        <v/>
      </c>
      <c r="BJ106" s="21">
        <f>IF(T106="","",IF(MAX(IF(T106="",0,MATCH(T106,Settings!$A$20:$A$23,0)),IF(AV106="",0,MATCH(AV106,Settings!$A$20:$A$23,0)))&gt;=MATCH(Settings!$C$29,Settings!$A$20:$A$23,0),"Yes","No"))</f>
        <v/>
      </c>
      <c r="BK106" s="82" t="n"/>
      <c r="BL106" s="81">
        <f>IF(A106="","",IF(TRIM(IF(W106="","Treatment not chosen. ","")&amp;IF(AND(W106="Accept",AX106="No"),"Accepted outside appetite: record approval by "&amp;INDEX(Settings!$G$20:$G$23,MATCH(AW106,Settings!$A$20:$A$23,0))&amp;". ","")&amp;IF(AND(W106="Accept",BG106=""),"Acceptance expiry missing. ","")&amp;IF(AND(BG106&lt;&gt;"",BG106&lt;TODAY()),"Acceptance expired. ","")&amp;IF(AND(W106&lt;&gt;"",W106&lt;&gt;"Accept",AV106=""),"Target rating not set. ","")&amp;IF(AND(BE106="Closed",AX106="No"),"Closed while outside appetite. ","")&amp;IF(AND(W106="Transfer",BE106&lt;&gt;"Transferred",BE106&lt;&gt;"Closed"),"Transfer: record the contract, SLA and audit rights. ","")&amp;IF(AZ106="","Risk owner missing. ","")&amp;IF(K106="","Scenario not written. ",""))="","OK",TRIM(IF(W106="","Treatment not chosen. ","")&amp;IF(AND(W106="Accept",AX106="No"),"Accepted outside appetite: record approval by "&amp;INDEX(Settings!$G$20:$G$23,MATCH(AW106,Settings!$A$20:$A$23,0))&amp;". ","")&amp;IF(AND(W106="Accept",BG106=""),"Acceptance expiry missing. ","")&amp;IF(AND(BG106&lt;&gt;"",BG106&lt;TODAY()),"Acceptance expired. ","")&amp;IF(AND(W106&lt;&gt;"",W106&lt;&gt;"Accept",AV106=""),"Target rating not set. ","")&amp;IF(AND(BE106="Closed",AX106="No"),"Closed while outside appetite. ","")&amp;IF(AND(W106="Transfer",BE106&lt;&gt;"Transferred",BE106&lt;&gt;"Closed"),"Transfer: record the contract, SLA and audit rights. ","")&amp;IF(AZ106="","Risk owner missing. ","")&amp;IF(K106="","Scenario not written. ",""))))</f>
        <v/>
      </c>
      <c r="BM106" s="82" t="n"/>
    </row>
    <row r="107">
      <c r="A107" s="84" t="n"/>
      <c r="B107" s="83" t="n"/>
      <c r="C107" s="80" t="n"/>
      <c r="D107" s="81">
        <f>IF(C107="","",IFERROR(INDEX(Lists!$O$2:$O$13,MATCH(C107,Lists!$N$2:$N$13,0)),"Check domain code"))</f>
        <v/>
      </c>
      <c r="E107" s="81">
        <f>IF(C107="","",IFERROR(INDEX(Lists!$P$2:$P$13,MATCH(C107,Lists!$N$2:$N$13,0)),""))</f>
        <v/>
      </c>
      <c r="F107" s="80" t="n"/>
      <c r="G107" s="82" t="n"/>
      <c r="H107" s="82" t="n"/>
      <c r="I107" s="82" t="n"/>
      <c r="J107" s="83" t="n"/>
      <c r="K107" s="82" t="n"/>
      <c r="L107" s="82" t="n"/>
      <c r="M107" s="84" t="n"/>
      <c r="N107" s="21" t="n"/>
      <c r="O107" s="82" t="n"/>
      <c r="P107" s="85" t="n"/>
      <c r="Q107" s="85" t="n"/>
      <c r="R107" s="85" t="n"/>
      <c r="S107" s="21">
        <f>IF(OR(Q107="",R107=""),"",Q107*R107)</f>
        <v/>
      </c>
      <c r="T107" s="21">
        <f>IF(S107="","",INDEX(Settings!$A$20:$A$23,MATCH(S107,Settings!$B$20:$B$23,1)))</f>
        <v/>
      </c>
      <c r="U107" s="82" t="n"/>
      <c r="V107" s="86" t="n"/>
      <c r="W107" s="85" t="n"/>
      <c r="X107" s="82" t="n"/>
      <c r="Y107" s="87" t="n"/>
      <c r="Z107" s="87" t="n"/>
      <c r="AA107" s="87" t="n"/>
      <c r="AB107" s="87" t="n"/>
      <c r="AC107" s="87" t="n"/>
      <c r="AD107" s="87" t="n"/>
      <c r="AE107" s="87" t="n"/>
      <c r="AF107" s="87" t="n"/>
      <c r="AG107" s="87" t="n"/>
      <c r="AH107" s="87" t="n"/>
      <c r="AI107" s="87" t="n"/>
      <c r="AJ107" s="88" t="n"/>
      <c r="AK107" s="87" t="n"/>
      <c r="AL107" s="87" t="n"/>
      <c r="AM107" s="87" t="n"/>
      <c r="AN107" s="87" t="n"/>
      <c r="AO107" s="87" t="n"/>
      <c r="AP107" s="87" t="n"/>
      <c r="AQ107" s="88" t="n"/>
      <c r="AR107" s="88" t="n"/>
      <c r="AS107" s="85" t="n"/>
      <c r="AT107" s="85" t="n"/>
      <c r="AU107" s="21">
        <f>IF(OR(AS107="",AT107=""),"",AS107*AT107)</f>
        <v/>
      </c>
      <c r="AV107" s="21">
        <f>IF(AU107="","",INDEX(Settings!$A$20:$A$23,MATCH(AU107,Settings!$B$20:$B$23,1)))</f>
        <v/>
      </c>
      <c r="AW107" s="21">
        <f>IF(AV107&lt;&gt;"",AV107,T107)</f>
        <v/>
      </c>
      <c r="AX107" s="21">
        <f>IF(AW107="","",IF(MATCH(AW107,Settings!$A$20:$A$23,0)&lt;=MATCH(Settings!$C$28,Settings!$A$20:$A$23,0),"Yes","No"))</f>
        <v/>
      </c>
      <c r="AY107" s="81">
        <f>IF(AW107="","",IF(AX107="Yes",INDEX(Settings!$G$20:$G$23,MATCH(AW107,Settings!$A$20:$A$23,0)),INDEX(Settings!$G$20:$G$23,MATCH(AW107,Settings!$A$20:$A$23,0))&amp;" (outside appetite)"))</f>
        <v/>
      </c>
      <c r="AZ107" s="82" t="n"/>
      <c r="BA107" s="82" t="n"/>
      <c r="BB107" s="89" t="n"/>
      <c r="BC107" s="90">
        <f>IF(OR(BB107="",T107=""),"",BB107+INDEX(Settings!$E$20:$E$23,MATCH(T107,Settings!$A$20:$A$23,0)))</f>
        <v/>
      </c>
      <c r="BD107" s="89" t="n"/>
      <c r="BE107" s="82" t="n"/>
      <c r="BF107" s="81">
        <f>IF(A107="","",IF(OR(BE107="Closed",BE107="Accepted"),"No action",IF(BB107="","Set date identified",IF(TODAY()&gt;BC107,"Deadline exceeded",IF(BC107-TODAY()&lt;=Settings!$C$30,"Deadline approaching","On track")))))</f>
        <v/>
      </c>
      <c r="BG107" s="89" t="n"/>
      <c r="BH107" s="89" t="n"/>
      <c r="BI107" s="90">
        <f>IF(OR(BH107="",AW107=""),"",EDATE(BH107,INDEX(Settings!$F$20:$F$23,MATCH(AW107,Settings!$A$20:$A$23,0))))</f>
        <v/>
      </c>
      <c r="BJ107" s="21">
        <f>IF(T107="","",IF(MAX(IF(T107="",0,MATCH(T107,Settings!$A$20:$A$23,0)),IF(AV107="",0,MATCH(AV107,Settings!$A$20:$A$23,0)))&gt;=MATCH(Settings!$C$29,Settings!$A$20:$A$23,0),"Yes","No"))</f>
        <v/>
      </c>
      <c r="BK107" s="82" t="n"/>
      <c r="BL107" s="81">
        <f>IF(A107="","",IF(TRIM(IF(W107="","Treatment not chosen. ","")&amp;IF(AND(W107="Accept",AX107="No"),"Accepted outside appetite: record approval by "&amp;INDEX(Settings!$G$20:$G$23,MATCH(AW107,Settings!$A$20:$A$23,0))&amp;". ","")&amp;IF(AND(W107="Accept",BG107=""),"Acceptance expiry missing. ","")&amp;IF(AND(BG107&lt;&gt;"",BG107&lt;TODAY()),"Acceptance expired. ","")&amp;IF(AND(W107&lt;&gt;"",W107&lt;&gt;"Accept",AV107=""),"Target rating not set. ","")&amp;IF(AND(BE107="Closed",AX107="No"),"Closed while outside appetite. ","")&amp;IF(AND(W107="Transfer",BE107&lt;&gt;"Transferred",BE107&lt;&gt;"Closed"),"Transfer: record the contract, SLA and audit rights. ","")&amp;IF(AZ107="","Risk owner missing. ","")&amp;IF(K107="","Scenario not written. ",""))="","OK",TRIM(IF(W107="","Treatment not chosen. ","")&amp;IF(AND(W107="Accept",AX107="No"),"Accepted outside appetite: record approval by "&amp;INDEX(Settings!$G$20:$G$23,MATCH(AW107,Settings!$A$20:$A$23,0))&amp;". ","")&amp;IF(AND(W107="Accept",BG107=""),"Acceptance expiry missing. ","")&amp;IF(AND(BG107&lt;&gt;"",BG107&lt;TODAY()),"Acceptance expired. ","")&amp;IF(AND(W107&lt;&gt;"",W107&lt;&gt;"Accept",AV107=""),"Target rating not set. ","")&amp;IF(AND(BE107="Closed",AX107="No"),"Closed while outside appetite. ","")&amp;IF(AND(W107="Transfer",BE107&lt;&gt;"Transferred",BE107&lt;&gt;"Closed"),"Transfer: record the contract, SLA and audit rights. ","")&amp;IF(AZ107="","Risk owner missing. ","")&amp;IF(K107="","Scenario not written. ",""))))</f>
        <v/>
      </c>
      <c r="BM107" s="82" t="n"/>
    </row>
    <row r="108">
      <c r="A108" s="94" t="n"/>
      <c r="B108" s="93" t="n"/>
      <c r="C108" s="80" t="n"/>
      <c r="D108" s="81">
        <f>IF(C108="","",IFERROR(INDEX(Lists!$O$2:$O$13,MATCH(C108,Lists!$N$2:$N$13,0)),"Check domain code"))</f>
        <v/>
      </c>
      <c r="E108" s="81">
        <f>IF(C108="","",IFERROR(INDEX(Lists!$P$2:$P$13,MATCH(C108,Lists!$N$2:$N$13,0)),""))</f>
        <v/>
      </c>
      <c r="F108" s="80" t="n"/>
      <c r="G108" s="82" t="n"/>
      <c r="H108" s="82" t="n"/>
      <c r="I108" s="82" t="n"/>
      <c r="J108" s="93" t="n"/>
      <c r="K108" s="82" t="n"/>
      <c r="L108" s="82" t="n"/>
      <c r="M108" s="94" t="n"/>
      <c r="N108" s="21" t="n"/>
      <c r="O108" s="82" t="n"/>
      <c r="P108" s="85" t="n"/>
      <c r="Q108" s="85" t="n"/>
      <c r="R108" s="85" t="n"/>
      <c r="S108" s="21">
        <f>IF(OR(Q108="",R108=""),"",Q108*R108)</f>
        <v/>
      </c>
      <c r="T108" s="21">
        <f>IF(S108="","",INDEX(Settings!$A$20:$A$23,MATCH(S108,Settings!$B$20:$B$23,1)))</f>
        <v/>
      </c>
      <c r="U108" s="82" t="n"/>
      <c r="V108" s="86" t="n"/>
      <c r="W108" s="85" t="n"/>
      <c r="X108" s="82" t="n"/>
      <c r="Y108" s="95" t="n"/>
      <c r="Z108" s="95" t="n"/>
      <c r="AA108" s="95" t="n"/>
      <c r="AB108" s="95" t="n"/>
      <c r="AC108" s="95" t="n"/>
      <c r="AD108" s="95" t="n"/>
      <c r="AE108" s="95" t="n"/>
      <c r="AF108" s="95" t="n"/>
      <c r="AG108" s="95" t="n"/>
      <c r="AH108" s="95" t="n"/>
      <c r="AI108" s="95" t="n"/>
      <c r="AJ108" s="96" t="n"/>
      <c r="AK108" s="95" t="n"/>
      <c r="AL108" s="95" t="n"/>
      <c r="AM108" s="95" t="n"/>
      <c r="AN108" s="95" t="n"/>
      <c r="AO108" s="95" t="n"/>
      <c r="AP108" s="95" t="n"/>
      <c r="AQ108" s="96" t="n"/>
      <c r="AR108" s="96" t="n"/>
      <c r="AS108" s="85" t="n"/>
      <c r="AT108" s="85" t="n"/>
      <c r="AU108" s="21">
        <f>IF(OR(AS108="",AT108=""),"",AS108*AT108)</f>
        <v/>
      </c>
      <c r="AV108" s="21">
        <f>IF(AU108="","",INDEX(Settings!$A$20:$A$23,MATCH(AU108,Settings!$B$20:$B$23,1)))</f>
        <v/>
      </c>
      <c r="AW108" s="21">
        <f>IF(AV108&lt;&gt;"",AV108,T108)</f>
        <v/>
      </c>
      <c r="AX108" s="21">
        <f>IF(AW108="","",IF(MATCH(AW108,Settings!$A$20:$A$23,0)&lt;=MATCH(Settings!$C$28,Settings!$A$20:$A$23,0),"Yes","No"))</f>
        <v/>
      </c>
      <c r="AY108" s="81">
        <f>IF(AW108="","",IF(AX108="Yes",INDEX(Settings!$G$20:$G$23,MATCH(AW108,Settings!$A$20:$A$23,0)),INDEX(Settings!$G$20:$G$23,MATCH(AW108,Settings!$A$20:$A$23,0))&amp;" (outside appetite)"))</f>
        <v/>
      </c>
      <c r="AZ108" s="82" t="n"/>
      <c r="BA108" s="82" t="n"/>
      <c r="BB108" s="89" t="n"/>
      <c r="BC108" s="90">
        <f>IF(OR(BB108="",T108=""),"",BB108+INDEX(Settings!$E$20:$E$23,MATCH(T108,Settings!$A$20:$A$23,0)))</f>
        <v/>
      </c>
      <c r="BD108" s="89" t="n"/>
      <c r="BE108" s="82" t="n"/>
      <c r="BF108" s="81">
        <f>IF(A108="","",IF(OR(BE108="Closed",BE108="Accepted"),"No action",IF(BB108="","Set date identified",IF(TODAY()&gt;BC108,"Deadline exceeded",IF(BC108-TODAY()&lt;=Settings!$C$30,"Deadline approaching","On track")))))</f>
        <v/>
      </c>
      <c r="BG108" s="89" t="n"/>
      <c r="BH108" s="89" t="n"/>
      <c r="BI108" s="90">
        <f>IF(OR(BH108="",AW108=""),"",EDATE(BH108,INDEX(Settings!$F$20:$F$23,MATCH(AW108,Settings!$A$20:$A$23,0))))</f>
        <v/>
      </c>
      <c r="BJ108" s="21">
        <f>IF(T108="","",IF(MAX(IF(T108="",0,MATCH(T108,Settings!$A$20:$A$23,0)),IF(AV108="",0,MATCH(AV108,Settings!$A$20:$A$23,0)))&gt;=MATCH(Settings!$C$29,Settings!$A$20:$A$23,0),"Yes","No"))</f>
        <v/>
      </c>
      <c r="BK108" s="82" t="n"/>
      <c r="BL108" s="81">
        <f>IF(A108="","",IF(TRIM(IF(W108="","Treatment not chosen. ","")&amp;IF(AND(W108="Accept",AX108="No"),"Accepted outside appetite: record approval by "&amp;INDEX(Settings!$G$20:$G$23,MATCH(AW108,Settings!$A$20:$A$23,0))&amp;". ","")&amp;IF(AND(W108="Accept",BG108=""),"Acceptance expiry missing. ","")&amp;IF(AND(BG108&lt;&gt;"",BG108&lt;TODAY()),"Acceptance expired. ","")&amp;IF(AND(W108&lt;&gt;"",W108&lt;&gt;"Accept",AV108=""),"Target rating not set. ","")&amp;IF(AND(BE108="Closed",AX108="No"),"Closed while outside appetite. ","")&amp;IF(AND(W108="Transfer",BE108&lt;&gt;"Transferred",BE108&lt;&gt;"Closed"),"Transfer: record the contract, SLA and audit rights. ","")&amp;IF(AZ108="","Risk owner missing. ","")&amp;IF(K108="","Scenario not written. ",""))="","OK",TRIM(IF(W108="","Treatment not chosen. ","")&amp;IF(AND(W108="Accept",AX108="No"),"Accepted outside appetite: record approval by "&amp;INDEX(Settings!$G$20:$G$23,MATCH(AW108,Settings!$A$20:$A$23,0))&amp;". ","")&amp;IF(AND(W108="Accept",BG108=""),"Acceptance expiry missing. ","")&amp;IF(AND(BG108&lt;&gt;"",BG108&lt;TODAY()),"Acceptance expired. ","")&amp;IF(AND(W108&lt;&gt;"",W108&lt;&gt;"Accept",AV108=""),"Target rating not set. ","")&amp;IF(AND(BE108="Closed",AX108="No"),"Closed while outside appetite. ","")&amp;IF(AND(W108="Transfer",BE108&lt;&gt;"Transferred",BE108&lt;&gt;"Closed"),"Transfer: record the contract, SLA and audit rights. ","")&amp;IF(AZ108="","Risk owner missing. ","")&amp;IF(K108="","Scenario not written. ",""))))</f>
        <v/>
      </c>
      <c r="BM108" s="82" t="n"/>
    </row>
    <row r="109">
      <c r="A109" s="84" t="n"/>
      <c r="B109" s="83" t="n"/>
      <c r="C109" s="80" t="n"/>
      <c r="D109" s="81">
        <f>IF(C109="","",IFERROR(INDEX(Lists!$O$2:$O$13,MATCH(C109,Lists!$N$2:$N$13,0)),"Check domain code"))</f>
        <v/>
      </c>
      <c r="E109" s="81">
        <f>IF(C109="","",IFERROR(INDEX(Lists!$P$2:$P$13,MATCH(C109,Lists!$N$2:$N$13,0)),""))</f>
        <v/>
      </c>
      <c r="F109" s="80" t="n"/>
      <c r="G109" s="82" t="n"/>
      <c r="H109" s="82" t="n"/>
      <c r="I109" s="82" t="n"/>
      <c r="J109" s="83" t="n"/>
      <c r="K109" s="82" t="n"/>
      <c r="L109" s="82" t="n"/>
      <c r="M109" s="84" t="n"/>
      <c r="N109" s="21" t="n"/>
      <c r="O109" s="82" t="n"/>
      <c r="P109" s="85" t="n"/>
      <c r="Q109" s="85" t="n"/>
      <c r="R109" s="85" t="n"/>
      <c r="S109" s="21">
        <f>IF(OR(Q109="",R109=""),"",Q109*R109)</f>
        <v/>
      </c>
      <c r="T109" s="21">
        <f>IF(S109="","",INDEX(Settings!$A$20:$A$23,MATCH(S109,Settings!$B$20:$B$23,1)))</f>
        <v/>
      </c>
      <c r="U109" s="82" t="n"/>
      <c r="V109" s="86" t="n"/>
      <c r="W109" s="85" t="n"/>
      <c r="X109" s="82" t="n"/>
      <c r="Y109" s="87" t="n"/>
      <c r="Z109" s="87" t="n"/>
      <c r="AA109" s="87" t="n"/>
      <c r="AB109" s="87" t="n"/>
      <c r="AC109" s="87" t="n"/>
      <c r="AD109" s="87" t="n"/>
      <c r="AE109" s="87" t="n"/>
      <c r="AF109" s="87" t="n"/>
      <c r="AG109" s="87" t="n"/>
      <c r="AH109" s="87" t="n"/>
      <c r="AI109" s="87" t="n"/>
      <c r="AJ109" s="88" t="n"/>
      <c r="AK109" s="87" t="n"/>
      <c r="AL109" s="87" t="n"/>
      <c r="AM109" s="87" t="n"/>
      <c r="AN109" s="87" t="n"/>
      <c r="AO109" s="87" t="n"/>
      <c r="AP109" s="87" t="n"/>
      <c r="AQ109" s="88" t="n"/>
      <c r="AR109" s="88" t="n"/>
      <c r="AS109" s="85" t="n"/>
      <c r="AT109" s="85" t="n"/>
      <c r="AU109" s="21">
        <f>IF(OR(AS109="",AT109=""),"",AS109*AT109)</f>
        <v/>
      </c>
      <c r="AV109" s="21">
        <f>IF(AU109="","",INDEX(Settings!$A$20:$A$23,MATCH(AU109,Settings!$B$20:$B$23,1)))</f>
        <v/>
      </c>
      <c r="AW109" s="21">
        <f>IF(AV109&lt;&gt;"",AV109,T109)</f>
        <v/>
      </c>
      <c r="AX109" s="21">
        <f>IF(AW109="","",IF(MATCH(AW109,Settings!$A$20:$A$23,0)&lt;=MATCH(Settings!$C$28,Settings!$A$20:$A$23,0),"Yes","No"))</f>
        <v/>
      </c>
      <c r="AY109" s="81">
        <f>IF(AW109="","",IF(AX109="Yes",INDEX(Settings!$G$20:$G$23,MATCH(AW109,Settings!$A$20:$A$23,0)),INDEX(Settings!$G$20:$G$23,MATCH(AW109,Settings!$A$20:$A$23,0))&amp;" (outside appetite)"))</f>
        <v/>
      </c>
      <c r="AZ109" s="82" t="n"/>
      <c r="BA109" s="82" t="n"/>
      <c r="BB109" s="89" t="n"/>
      <c r="BC109" s="90">
        <f>IF(OR(BB109="",T109=""),"",BB109+INDEX(Settings!$E$20:$E$23,MATCH(T109,Settings!$A$20:$A$23,0)))</f>
        <v/>
      </c>
      <c r="BD109" s="89" t="n"/>
      <c r="BE109" s="82" t="n"/>
      <c r="BF109" s="81">
        <f>IF(A109="","",IF(OR(BE109="Closed",BE109="Accepted"),"No action",IF(BB109="","Set date identified",IF(TODAY()&gt;BC109,"Deadline exceeded",IF(BC109-TODAY()&lt;=Settings!$C$30,"Deadline approaching","On track")))))</f>
        <v/>
      </c>
      <c r="BG109" s="89" t="n"/>
      <c r="BH109" s="89" t="n"/>
      <c r="BI109" s="90">
        <f>IF(OR(BH109="",AW109=""),"",EDATE(BH109,INDEX(Settings!$F$20:$F$23,MATCH(AW109,Settings!$A$20:$A$23,0))))</f>
        <v/>
      </c>
      <c r="BJ109" s="21">
        <f>IF(T109="","",IF(MAX(IF(T109="",0,MATCH(T109,Settings!$A$20:$A$23,0)),IF(AV109="",0,MATCH(AV109,Settings!$A$20:$A$23,0)))&gt;=MATCH(Settings!$C$29,Settings!$A$20:$A$23,0),"Yes","No"))</f>
        <v/>
      </c>
      <c r="BK109" s="82" t="n"/>
      <c r="BL109" s="81">
        <f>IF(A109="","",IF(TRIM(IF(W109="","Treatment not chosen. ","")&amp;IF(AND(W109="Accept",AX109="No"),"Accepted outside appetite: record approval by "&amp;INDEX(Settings!$G$20:$G$23,MATCH(AW109,Settings!$A$20:$A$23,0))&amp;". ","")&amp;IF(AND(W109="Accept",BG109=""),"Acceptance expiry missing. ","")&amp;IF(AND(BG109&lt;&gt;"",BG109&lt;TODAY()),"Acceptance expired. ","")&amp;IF(AND(W109&lt;&gt;"",W109&lt;&gt;"Accept",AV109=""),"Target rating not set. ","")&amp;IF(AND(BE109="Closed",AX109="No"),"Closed while outside appetite. ","")&amp;IF(AND(W109="Transfer",BE109&lt;&gt;"Transferred",BE109&lt;&gt;"Closed"),"Transfer: record the contract, SLA and audit rights. ","")&amp;IF(AZ109="","Risk owner missing. ","")&amp;IF(K109="","Scenario not written. ",""))="","OK",TRIM(IF(W109="","Treatment not chosen. ","")&amp;IF(AND(W109="Accept",AX109="No"),"Accepted outside appetite: record approval by "&amp;INDEX(Settings!$G$20:$G$23,MATCH(AW109,Settings!$A$20:$A$23,0))&amp;". ","")&amp;IF(AND(W109="Accept",BG109=""),"Acceptance expiry missing. ","")&amp;IF(AND(BG109&lt;&gt;"",BG109&lt;TODAY()),"Acceptance expired. ","")&amp;IF(AND(W109&lt;&gt;"",W109&lt;&gt;"Accept",AV109=""),"Target rating not set. ","")&amp;IF(AND(BE109="Closed",AX109="No"),"Closed while outside appetite. ","")&amp;IF(AND(W109="Transfer",BE109&lt;&gt;"Transferred",BE109&lt;&gt;"Closed"),"Transfer: record the contract, SLA and audit rights. ","")&amp;IF(AZ109="","Risk owner missing. ","")&amp;IF(K109="","Scenario not written. ",""))))</f>
        <v/>
      </c>
      <c r="BM109" s="82" t="n"/>
    </row>
    <row r="110">
      <c r="A110" s="94" t="n"/>
      <c r="B110" s="93" t="n"/>
      <c r="C110" s="80" t="n"/>
      <c r="D110" s="81">
        <f>IF(C110="","",IFERROR(INDEX(Lists!$O$2:$O$13,MATCH(C110,Lists!$N$2:$N$13,0)),"Check domain code"))</f>
        <v/>
      </c>
      <c r="E110" s="81">
        <f>IF(C110="","",IFERROR(INDEX(Lists!$P$2:$P$13,MATCH(C110,Lists!$N$2:$N$13,0)),""))</f>
        <v/>
      </c>
      <c r="F110" s="80" t="n"/>
      <c r="G110" s="82" t="n"/>
      <c r="H110" s="82" t="n"/>
      <c r="I110" s="82" t="n"/>
      <c r="J110" s="93" t="n"/>
      <c r="K110" s="82" t="n"/>
      <c r="L110" s="82" t="n"/>
      <c r="M110" s="94" t="n"/>
      <c r="N110" s="21" t="n"/>
      <c r="O110" s="82" t="n"/>
      <c r="P110" s="85" t="n"/>
      <c r="Q110" s="85" t="n"/>
      <c r="R110" s="85" t="n"/>
      <c r="S110" s="21">
        <f>IF(OR(Q110="",R110=""),"",Q110*R110)</f>
        <v/>
      </c>
      <c r="T110" s="21">
        <f>IF(S110="","",INDEX(Settings!$A$20:$A$23,MATCH(S110,Settings!$B$20:$B$23,1)))</f>
        <v/>
      </c>
      <c r="U110" s="82" t="n"/>
      <c r="V110" s="86" t="n"/>
      <c r="W110" s="85" t="n"/>
      <c r="X110" s="82" t="n"/>
      <c r="Y110" s="95" t="n"/>
      <c r="Z110" s="95" t="n"/>
      <c r="AA110" s="95" t="n"/>
      <c r="AB110" s="95" t="n"/>
      <c r="AC110" s="95" t="n"/>
      <c r="AD110" s="95" t="n"/>
      <c r="AE110" s="95" t="n"/>
      <c r="AF110" s="95" t="n"/>
      <c r="AG110" s="95" t="n"/>
      <c r="AH110" s="95" t="n"/>
      <c r="AI110" s="95" t="n"/>
      <c r="AJ110" s="96" t="n"/>
      <c r="AK110" s="95" t="n"/>
      <c r="AL110" s="95" t="n"/>
      <c r="AM110" s="95" t="n"/>
      <c r="AN110" s="95" t="n"/>
      <c r="AO110" s="95" t="n"/>
      <c r="AP110" s="95" t="n"/>
      <c r="AQ110" s="96" t="n"/>
      <c r="AR110" s="96" t="n"/>
      <c r="AS110" s="85" t="n"/>
      <c r="AT110" s="85" t="n"/>
      <c r="AU110" s="21">
        <f>IF(OR(AS110="",AT110=""),"",AS110*AT110)</f>
        <v/>
      </c>
      <c r="AV110" s="21">
        <f>IF(AU110="","",INDEX(Settings!$A$20:$A$23,MATCH(AU110,Settings!$B$20:$B$23,1)))</f>
        <v/>
      </c>
      <c r="AW110" s="21">
        <f>IF(AV110&lt;&gt;"",AV110,T110)</f>
        <v/>
      </c>
      <c r="AX110" s="21">
        <f>IF(AW110="","",IF(MATCH(AW110,Settings!$A$20:$A$23,0)&lt;=MATCH(Settings!$C$28,Settings!$A$20:$A$23,0),"Yes","No"))</f>
        <v/>
      </c>
      <c r="AY110" s="81">
        <f>IF(AW110="","",IF(AX110="Yes",INDEX(Settings!$G$20:$G$23,MATCH(AW110,Settings!$A$20:$A$23,0)),INDEX(Settings!$G$20:$G$23,MATCH(AW110,Settings!$A$20:$A$23,0))&amp;" (outside appetite)"))</f>
        <v/>
      </c>
      <c r="AZ110" s="82" t="n"/>
      <c r="BA110" s="82" t="n"/>
      <c r="BB110" s="89" t="n"/>
      <c r="BC110" s="90">
        <f>IF(OR(BB110="",T110=""),"",BB110+INDEX(Settings!$E$20:$E$23,MATCH(T110,Settings!$A$20:$A$23,0)))</f>
        <v/>
      </c>
      <c r="BD110" s="89" t="n"/>
      <c r="BE110" s="82" t="n"/>
      <c r="BF110" s="81">
        <f>IF(A110="","",IF(OR(BE110="Closed",BE110="Accepted"),"No action",IF(BB110="","Set date identified",IF(TODAY()&gt;BC110,"Deadline exceeded",IF(BC110-TODAY()&lt;=Settings!$C$30,"Deadline approaching","On track")))))</f>
        <v/>
      </c>
      <c r="BG110" s="89" t="n"/>
      <c r="BH110" s="89" t="n"/>
      <c r="BI110" s="90">
        <f>IF(OR(BH110="",AW110=""),"",EDATE(BH110,INDEX(Settings!$F$20:$F$23,MATCH(AW110,Settings!$A$20:$A$23,0))))</f>
        <v/>
      </c>
      <c r="BJ110" s="21">
        <f>IF(T110="","",IF(MAX(IF(T110="",0,MATCH(T110,Settings!$A$20:$A$23,0)),IF(AV110="",0,MATCH(AV110,Settings!$A$20:$A$23,0)))&gt;=MATCH(Settings!$C$29,Settings!$A$20:$A$23,0),"Yes","No"))</f>
        <v/>
      </c>
      <c r="BK110" s="82" t="n"/>
      <c r="BL110" s="81">
        <f>IF(A110="","",IF(TRIM(IF(W110="","Treatment not chosen. ","")&amp;IF(AND(W110="Accept",AX110="No"),"Accepted outside appetite: record approval by "&amp;INDEX(Settings!$G$20:$G$23,MATCH(AW110,Settings!$A$20:$A$23,0))&amp;". ","")&amp;IF(AND(W110="Accept",BG110=""),"Acceptance expiry missing. ","")&amp;IF(AND(BG110&lt;&gt;"",BG110&lt;TODAY()),"Acceptance expired. ","")&amp;IF(AND(W110&lt;&gt;"",W110&lt;&gt;"Accept",AV110=""),"Target rating not set. ","")&amp;IF(AND(BE110="Closed",AX110="No"),"Closed while outside appetite. ","")&amp;IF(AND(W110="Transfer",BE110&lt;&gt;"Transferred",BE110&lt;&gt;"Closed"),"Transfer: record the contract, SLA and audit rights. ","")&amp;IF(AZ110="","Risk owner missing. ","")&amp;IF(K110="","Scenario not written. ",""))="","OK",TRIM(IF(W110="","Treatment not chosen. ","")&amp;IF(AND(W110="Accept",AX110="No"),"Accepted outside appetite: record approval by "&amp;INDEX(Settings!$G$20:$G$23,MATCH(AW110,Settings!$A$20:$A$23,0))&amp;". ","")&amp;IF(AND(W110="Accept",BG110=""),"Acceptance expiry missing. ","")&amp;IF(AND(BG110&lt;&gt;"",BG110&lt;TODAY()),"Acceptance expired. ","")&amp;IF(AND(W110&lt;&gt;"",W110&lt;&gt;"Accept",AV110=""),"Target rating not set. ","")&amp;IF(AND(BE110="Closed",AX110="No"),"Closed while outside appetite. ","")&amp;IF(AND(W110="Transfer",BE110&lt;&gt;"Transferred",BE110&lt;&gt;"Closed"),"Transfer: record the contract, SLA and audit rights. ","")&amp;IF(AZ110="","Risk owner missing. ","")&amp;IF(K110="","Scenario not written. ",""))))</f>
        <v/>
      </c>
      <c r="BM110" s="82" t="n"/>
    </row>
    <row r="111">
      <c r="A111" s="84" t="n"/>
      <c r="B111" s="83" t="n"/>
      <c r="C111" s="80" t="n"/>
      <c r="D111" s="81">
        <f>IF(C111="","",IFERROR(INDEX(Lists!$O$2:$O$13,MATCH(C111,Lists!$N$2:$N$13,0)),"Check domain code"))</f>
        <v/>
      </c>
      <c r="E111" s="81">
        <f>IF(C111="","",IFERROR(INDEX(Lists!$P$2:$P$13,MATCH(C111,Lists!$N$2:$N$13,0)),""))</f>
        <v/>
      </c>
      <c r="F111" s="80" t="n"/>
      <c r="G111" s="82" t="n"/>
      <c r="H111" s="82" t="n"/>
      <c r="I111" s="82" t="n"/>
      <c r="J111" s="83" t="n"/>
      <c r="K111" s="82" t="n"/>
      <c r="L111" s="82" t="n"/>
      <c r="M111" s="84" t="n"/>
      <c r="N111" s="21" t="n"/>
      <c r="O111" s="82" t="n"/>
      <c r="P111" s="85" t="n"/>
      <c r="Q111" s="85" t="n"/>
      <c r="R111" s="85" t="n"/>
      <c r="S111" s="21">
        <f>IF(OR(Q111="",R111=""),"",Q111*R111)</f>
        <v/>
      </c>
      <c r="T111" s="21">
        <f>IF(S111="","",INDEX(Settings!$A$20:$A$23,MATCH(S111,Settings!$B$20:$B$23,1)))</f>
        <v/>
      </c>
      <c r="U111" s="82" t="n"/>
      <c r="V111" s="86" t="n"/>
      <c r="W111" s="85" t="n"/>
      <c r="X111" s="82" t="n"/>
      <c r="Y111" s="87" t="n"/>
      <c r="Z111" s="87" t="n"/>
      <c r="AA111" s="87" t="n"/>
      <c r="AB111" s="87" t="n"/>
      <c r="AC111" s="87" t="n"/>
      <c r="AD111" s="87" t="n"/>
      <c r="AE111" s="87" t="n"/>
      <c r="AF111" s="87" t="n"/>
      <c r="AG111" s="87" t="n"/>
      <c r="AH111" s="87" t="n"/>
      <c r="AI111" s="87" t="n"/>
      <c r="AJ111" s="88" t="n"/>
      <c r="AK111" s="87" t="n"/>
      <c r="AL111" s="87" t="n"/>
      <c r="AM111" s="87" t="n"/>
      <c r="AN111" s="87" t="n"/>
      <c r="AO111" s="87" t="n"/>
      <c r="AP111" s="87" t="n"/>
      <c r="AQ111" s="88" t="n"/>
      <c r="AR111" s="88" t="n"/>
      <c r="AS111" s="85" t="n"/>
      <c r="AT111" s="85" t="n"/>
      <c r="AU111" s="21">
        <f>IF(OR(AS111="",AT111=""),"",AS111*AT111)</f>
        <v/>
      </c>
      <c r="AV111" s="21">
        <f>IF(AU111="","",INDEX(Settings!$A$20:$A$23,MATCH(AU111,Settings!$B$20:$B$23,1)))</f>
        <v/>
      </c>
      <c r="AW111" s="21">
        <f>IF(AV111&lt;&gt;"",AV111,T111)</f>
        <v/>
      </c>
      <c r="AX111" s="21">
        <f>IF(AW111="","",IF(MATCH(AW111,Settings!$A$20:$A$23,0)&lt;=MATCH(Settings!$C$28,Settings!$A$20:$A$23,0),"Yes","No"))</f>
        <v/>
      </c>
      <c r="AY111" s="81">
        <f>IF(AW111="","",IF(AX111="Yes",INDEX(Settings!$G$20:$G$23,MATCH(AW111,Settings!$A$20:$A$23,0)),INDEX(Settings!$G$20:$G$23,MATCH(AW111,Settings!$A$20:$A$23,0))&amp;" (outside appetite)"))</f>
        <v/>
      </c>
      <c r="AZ111" s="82" t="n"/>
      <c r="BA111" s="82" t="n"/>
      <c r="BB111" s="89" t="n"/>
      <c r="BC111" s="90">
        <f>IF(OR(BB111="",T111=""),"",BB111+INDEX(Settings!$E$20:$E$23,MATCH(T111,Settings!$A$20:$A$23,0)))</f>
        <v/>
      </c>
      <c r="BD111" s="89" t="n"/>
      <c r="BE111" s="82" t="n"/>
      <c r="BF111" s="81">
        <f>IF(A111="","",IF(OR(BE111="Closed",BE111="Accepted"),"No action",IF(BB111="","Set date identified",IF(TODAY()&gt;BC111,"Deadline exceeded",IF(BC111-TODAY()&lt;=Settings!$C$30,"Deadline approaching","On track")))))</f>
        <v/>
      </c>
      <c r="BG111" s="89" t="n"/>
      <c r="BH111" s="89" t="n"/>
      <c r="BI111" s="90">
        <f>IF(OR(BH111="",AW111=""),"",EDATE(BH111,INDEX(Settings!$F$20:$F$23,MATCH(AW111,Settings!$A$20:$A$23,0))))</f>
        <v/>
      </c>
      <c r="BJ111" s="21">
        <f>IF(T111="","",IF(MAX(IF(T111="",0,MATCH(T111,Settings!$A$20:$A$23,0)),IF(AV111="",0,MATCH(AV111,Settings!$A$20:$A$23,0)))&gt;=MATCH(Settings!$C$29,Settings!$A$20:$A$23,0),"Yes","No"))</f>
        <v/>
      </c>
      <c r="BK111" s="82" t="n"/>
      <c r="BL111" s="81">
        <f>IF(A111="","",IF(TRIM(IF(W111="","Treatment not chosen. ","")&amp;IF(AND(W111="Accept",AX111="No"),"Accepted outside appetite: record approval by "&amp;INDEX(Settings!$G$20:$G$23,MATCH(AW111,Settings!$A$20:$A$23,0))&amp;". ","")&amp;IF(AND(W111="Accept",BG111=""),"Acceptance expiry missing. ","")&amp;IF(AND(BG111&lt;&gt;"",BG111&lt;TODAY()),"Acceptance expired. ","")&amp;IF(AND(W111&lt;&gt;"",W111&lt;&gt;"Accept",AV111=""),"Target rating not set. ","")&amp;IF(AND(BE111="Closed",AX111="No"),"Closed while outside appetite. ","")&amp;IF(AND(W111="Transfer",BE111&lt;&gt;"Transferred",BE111&lt;&gt;"Closed"),"Transfer: record the contract, SLA and audit rights. ","")&amp;IF(AZ111="","Risk owner missing. ","")&amp;IF(K111="","Scenario not written. ",""))="","OK",TRIM(IF(W111="","Treatment not chosen. ","")&amp;IF(AND(W111="Accept",AX111="No"),"Accepted outside appetite: record approval by "&amp;INDEX(Settings!$G$20:$G$23,MATCH(AW111,Settings!$A$20:$A$23,0))&amp;". ","")&amp;IF(AND(W111="Accept",BG111=""),"Acceptance expiry missing. ","")&amp;IF(AND(BG111&lt;&gt;"",BG111&lt;TODAY()),"Acceptance expired. ","")&amp;IF(AND(W111&lt;&gt;"",W111&lt;&gt;"Accept",AV111=""),"Target rating not set. ","")&amp;IF(AND(BE111="Closed",AX111="No"),"Closed while outside appetite. ","")&amp;IF(AND(W111="Transfer",BE111&lt;&gt;"Transferred",BE111&lt;&gt;"Closed"),"Transfer: record the contract, SLA and audit rights. ","")&amp;IF(AZ111="","Risk owner missing. ","")&amp;IF(K111="","Scenario not written. ",""))))</f>
        <v/>
      </c>
      <c r="BM111" s="82" t="n"/>
    </row>
    <row r="112">
      <c r="A112" s="94" t="n"/>
      <c r="B112" s="93" t="n"/>
      <c r="C112" s="80" t="n"/>
      <c r="D112" s="81">
        <f>IF(C112="","",IFERROR(INDEX(Lists!$O$2:$O$13,MATCH(C112,Lists!$N$2:$N$13,0)),"Check domain code"))</f>
        <v/>
      </c>
      <c r="E112" s="81">
        <f>IF(C112="","",IFERROR(INDEX(Lists!$P$2:$P$13,MATCH(C112,Lists!$N$2:$N$13,0)),""))</f>
        <v/>
      </c>
      <c r="F112" s="80" t="n"/>
      <c r="G112" s="82" t="n"/>
      <c r="H112" s="82" t="n"/>
      <c r="I112" s="82" t="n"/>
      <c r="J112" s="93" t="n"/>
      <c r="K112" s="82" t="n"/>
      <c r="L112" s="82" t="n"/>
      <c r="M112" s="94" t="n"/>
      <c r="N112" s="21" t="n"/>
      <c r="O112" s="82" t="n"/>
      <c r="P112" s="85" t="n"/>
      <c r="Q112" s="85" t="n"/>
      <c r="R112" s="85" t="n"/>
      <c r="S112" s="21">
        <f>IF(OR(Q112="",R112=""),"",Q112*R112)</f>
        <v/>
      </c>
      <c r="T112" s="21">
        <f>IF(S112="","",INDEX(Settings!$A$20:$A$23,MATCH(S112,Settings!$B$20:$B$23,1)))</f>
        <v/>
      </c>
      <c r="U112" s="82" t="n"/>
      <c r="V112" s="86" t="n"/>
      <c r="W112" s="85" t="n"/>
      <c r="X112" s="82" t="n"/>
      <c r="Y112" s="95" t="n"/>
      <c r="Z112" s="95" t="n"/>
      <c r="AA112" s="95" t="n"/>
      <c r="AB112" s="95" t="n"/>
      <c r="AC112" s="95" t="n"/>
      <c r="AD112" s="95" t="n"/>
      <c r="AE112" s="95" t="n"/>
      <c r="AF112" s="95" t="n"/>
      <c r="AG112" s="95" t="n"/>
      <c r="AH112" s="95" t="n"/>
      <c r="AI112" s="95" t="n"/>
      <c r="AJ112" s="96" t="n"/>
      <c r="AK112" s="95" t="n"/>
      <c r="AL112" s="95" t="n"/>
      <c r="AM112" s="95" t="n"/>
      <c r="AN112" s="95" t="n"/>
      <c r="AO112" s="95" t="n"/>
      <c r="AP112" s="95" t="n"/>
      <c r="AQ112" s="96" t="n"/>
      <c r="AR112" s="96" t="n"/>
      <c r="AS112" s="85" t="n"/>
      <c r="AT112" s="85" t="n"/>
      <c r="AU112" s="21">
        <f>IF(OR(AS112="",AT112=""),"",AS112*AT112)</f>
        <v/>
      </c>
      <c r="AV112" s="21">
        <f>IF(AU112="","",INDEX(Settings!$A$20:$A$23,MATCH(AU112,Settings!$B$20:$B$23,1)))</f>
        <v/>
      </c>
      <c r="AW112" s="21">
        <f>IF(AV112&lt;&gt;"",AV112,T112)</f>
        <v/>
      </c>
      <c r="AX112" s="21">
        <f>IF(AW112="","",IF(MATCH(AW112,Settings!$A$20:$A$23,0)&lt;=MATCH(Settings!$C$28,Settings!$A$20:$A$23,0),"Yes","No"))</f>
        <v/>
      </c>
      <c r="AY112" s="81">
        <f>IF(AW112="","",IF(AX112="Yes",INDEX(Settings!$G$20:$G$23,MATCH(AW112,Settings!$A$20:$A$23,0)),INDEX(Settings!$G$20:$G$23,MATCH(AW112,Settings!$A$20:$A$23,0))&amp;" (outside appetite)"))</f>
        <v/>
      </c>
      <c r="AZ112" s="82" t="n"/>
      <c r="BA112" s="82" t="n"/>
      <c r="BB112" s="89" t="n"/>
      <c r="BC112" s="90">
        <f>IF(OR(BB112="",T112=""),"",BB112+INDEX(Settings!$E$20:$E$23,MATCH(T112,Settings!$A$20:$A$23,0)))</f>
        <v/>
      </c>
      <c r="BD112" s="89" t="n"/>
      <c r="BE112" s="82" t="n"/>
      <c r="BF112" s="81">
        <f>IF(A112="","",IF(OR(BE112="Closed",BE112="Accepted"),"No action",IF(BB112="","Set date identified",IF(TODAY()&gt;BC112,"Deadline exceeded",IF(BC112-TODAY()&lt;=Settings!$C$30,"Deadline approaching","On track")))))</f>
        <v/>
      </c>
      <c r="BG112" s="89" t="n"/>
      <c r="BH112" s="89" t="n"/>
      <c r="BI112" s="90">
        <f>IF(OR(BH112="",AW112=""),"",EDATE(BH112,INDEX(Settings!$F$20:$F$23,MATCH(AW112,Settings!$A$20:$A$23,0))))</f>
        <v/>
      </c>
      <c r="BJ112" s="21">
        <f>IF(T112="","",IF(MAX(IF(T112="",0,MATCH(T112,Settings!$A$20:$A$23,0)),IF(AV112="",0,MATCH(AV112,Settings!$A$20:$A$23,0)))&gt;=MATCH(Settings!$C$29,Settings!$A$20:$A$23,0),"Yes","No"))</f>
        <v/>
      </c>
      <c r="BK112" s="82" t="n"/>
      <c r="BL112" s="81">
        <f>IF(A112="","",IF(TRIM(IF(W112="","Treatment not chosen. ","")&amp;IF(AND(W112="Accept",AX112="No"),"Accepted outside appetite: record approval by "&amp;INDEX(Settings!$G$20:$G$23,MATCH(AW112,Settings!$A$20:$A$23,0))&amp;". ","")&amp;IF(AND(W112="Accept",BG112=""),"Acceptance expiry missing. ","")&amp;IF(AND(BG112&lt;&gt;"",BG112&lt;TODAY()),"Acceptance expired. ","")&amp;IF(AND(W112&lt;&gt;"",W112&lt;&gt;"Accept",AV112=""),"Target rating not set. ","")&amp;IF(AND(BE112="Closed",AX112="No"),"Closed while outside appetite. ","")&amp;IF(AND(W112="Transfer",BE112&lt;&gt;"Transferred",BE112&lt;&gt;"Closed"),"Transfer: record the contract, SLA and audit rights. ","")&amp;IF(AZ112="","Risk owner missing. ","")&amp;IF(K112="","Scenario not written. ",""))="","OK",TRIM(IF(W112="","Treatment not chosen. ","")&amp;IF(AND(W112="Accept",AX112="No"),"Accepted outside appetite: record approval by "&amp;INDEX(Settings!$G$20:$G$23,MATCH(AW112,Settings!$A$20:$A$23,0))&amp;". ","")&amp;IF(AND(W112="Accept",BG112=""),"Acceptance expiry missing. ","")&amp;IF(AND(BG112&lt;&gt;"",BG112&lt;TODAY()),"Acceptance expired. ","")&amp;IF(AND(W112&lt;&gt;"",W112&lt;&gt;"Accept",AV112=""),"Target rating not set. ","")&amp;IF(AND(BE112="Closed",AX112="No"),"Closed while outside appetite. ","")&amp;IF(AND(W112="Transfer",BE112&lt;&gt;"Transferred",BE112&lt;&gt;"Closed"),"Transfer: record the contract, SLA and audit rights. ","")&amp;IF(AZ112="","Risk owner missing. ","")&amp;IF(K112="","Scenario not written. ",""))))</f>
        <v/>
      </c>
      <c r="BM112" s="82" t="n"/>
    </row>
    <row r="113">
      <c r="A113" s="84" t="n"/>
      <c r="B113" s="83" t="n"/>
      <c r="C113" s="80" t="n"/>
      <c r="D113" s="81">
        <f>IF(C113="","",IFERROR(INDEX(Lists!$O$2:$O$13,MATCH(C113,Lists!$N$2:$N$13,0)),"Check domain code"))</f>
        <v/>
      </c>
      <c r="E113" s="81">
        <f>IF(C113="","",IFERROR(INDEX(Lists!$P$2:$P$13,MATCH(C113,Lists!$N$2:$N$13,0)),""))</f>
        <v/>
      </c>
      <c r="F113" s="80" t="n"/>
      <c r="G113" s="82" t="n"/>
      <c r="H113" s="82" t="n"/>
      <c r="I113" s="82" t="n"/>
      <c r="J113" s="83" t="n"/>
      <c r="K113" s="82" t="n"/>
      <c r="L113" s="82" t="n"/>
      <c r="M113" s="84" t="n"/>
      <c r="N113" s="21" t="n"/>
      <c r="O113" s="82" t="n"/>
      <c r="P113" s="85" t="n"/>
      <c r="Q113" s="85" t="n"/>
      <c r="R113" s="85" t="n"/>
      <c r="S113" s="21">
        <f>IF(OR(Q113="",R113=""),"",Q113*R113)</f>
        <v/>
      </c>
      <c r="T113" s="21">
        <f>IF(S113="","",INDEX(Settings!$A$20:$A$23,MATCH(S113,Settings!$B$20:$B$23,1)))</f>
        <v/>
      </c>
      <c r="U113" s="82" t="n"/>
      <c r="V113" s="86" t="n"/>
      <c r="W113" s="85" t="n"/>
      <c r="X113" s="82" t="n"/>
      <c r="Y113" s="87" t="n"/>
      <c r="Z113" s="87" t="n"/>
      <c r="AA113" s="87" t="n"/>
      <c r="AB113" s="87" t="n"/>
      <c r="AC113" s="87" t="n"/>
      <c r="AD113" s="87" t="n"/>
      <c r="AE113" s="87" t="n"/>
      <c r="AF113" s="87" t="n"/>
      <c r="AG113" s="87" t="n"/>
      <c r="AH113" s="87" t="n"/>
      <c r="AI113" s="87" t="n"/>
      <c r="AJ113" s="88" t="n"/>
      <c r="AK113" s="87" t="n"/>
      <c r="AL113" s="87" t="n"/>
      <c r="AM113" s="87" t="n"/>
      <c r="AN113" s="87" t="n"/>
      <c r="AO113" s="87" t="n"/>
      <c r="AP113" s="87" t="n"/>
      <c r="AQ113" s="88" t="n"/>
      <c r="AR113" s="88" t="n"/>
      <c r="AS113" s="85" t="n"/>
      <c r="AT113" s="85" t="n"/>
      <c r="AU113" s="21">
        <f>IF(OR(AS113="",AT113=""),"",AS113*AT113)</f>
        <v/>
      </c>
      <c r="AV113" s="21">
        <f>IF(AU113="","",INDEX(Settings!$A$20:$A$23,MATCH(AU113,Settings!$B$20:$B$23,1)))</f>
        <v/>
      </c>
      <c r="AW113" s="21">
        <f>IF(AV113&lt;&gt;"",AV113,T113)</f>
        <v/>
      </c>
      <c r="AX113" s="21">
        <f>IF(AW113="","",IF(MATCH(AW113,Settings!$A$20:$A$23,0)&lt;=MATCH(Settings!$C$28,Settings!$A$20:$A$23,0),"Yes","No"))</f>
        <v/>
      </c>
      <c r="AY113" s="81">
        <f>IF(AW113="","",IF(AX113="Yes",INDEX(Settings!$G$20:$G$23,MATCH(AW113,Settings!$A$20:$A$23,0)),INDEX(Settings!$G$20:$G$23,MATCH(AW113,Settings!$A$20:$A$23,0))&amp;" (outside appetite)"))</f>
        <v/>
      </c>
      <c r="AZ113" s="82" t="n"/>
      <c r="BA113" s="82" t="n"/>
      <c r="BB113" s="89" t="n"/>
      <c r="BC113" s="90">
        <f>IF(OR(BB113="",T113=""),"",BB113+INDEX(Settings!$E$20:$E$23,MATCH(T113,Settings!$A$20:$A$23,0)))</f>
        <v/>
      </c>
      <c r="BD113" s="89" t="n"/>
      <c r="BE113" s="82" t="n"/>
      <c r="BF113" s="81">
        <f>IF(A113="","",IF(OR(BE113="Closed",BE113="Accepted"),"No action",IF(BB113="","Set date identified",IF(TODAY()&gt;BC113,"Deadline exceeded",IF(BC113-TODAY()&lt;=Settings!$C$30,"Deadline approaching","On track")))))</f>
        <v/>
      </c>
      <c r="BG113" s="89" t="n"/>
      <c r="BH113" s="89" t="n"/>
      <c r="BI113" s="90">
        <f>IF(OR(BH113="",AW113=""),"",EDATE(BH113,INDEX(Settings!$F$20:$F$23,MATCH(AW113,Settings!$A$20:$A$23,0))))</f>
        <v/>
      </c>
      <c r="BJ113" s="21">
        <f>IF(T113="","",IF(MAX(IF(T113="",0,MATCH(T113,Settings!$A$20:$A$23,0)),IF(AV113="",0,MATCH(AV113,Settings!$A$20:$A$23,0)))&gt;=MATCH(Settings!$C$29,Settings!$A$20:$A$23,0),"Yes","No"))</f>
        <v/>
      </c>
      <c r="BK113" s="82" t="n"/>
      <c r="BL113" s="81">
        <f>IF(A113="","",IF(TRIM(IF(W113="","Treatment not chosen. ","")&amp;IF(AND(W113="Accept",AX113="No"),"Accepted outside appetite: record approval by "&amp;INDEX(Settings!$G$20:$G$23,MATCH(AW113,Settings!$A$20:$A$23,0))&amp;". ","")&amp;IF(AND(W113="Accept",BG113=""),"Acceptance expiry missing. ","")&amp;IF(AND(BG113&lt;&gt;"",BG113&lt;TODAY()),"Acceptance expired. ","")&amp;IF(AND(W113&lt;&gt;"",W113&lt;&gt;"Accept",AV113=""),"Target rating not set. ","")&amp;IF(AND(BE113="Closed",AX113="No"),"Closed while outside appetite. ","")&amp;IF(AND(W113="Transfer",BE113&lt;&gt;"Transferred",BE113&lt;&gt;"Closed"),"Transfer: record the contract, SLA and audit rights. ","")&amp;IF(AZ113="","Risk owner missing. ","")&amp;IF(K113="","Scenario not written. ",""))="","OK",TRIM(IF(W113="","Treatment not chosen. ","")&amp;IF(AND(W113="Accept",AX113="No"),"Accepted outside appetite: record approval by "&amp;INDEX(Settings!$G$20:$G$23,MATCH(AW113,Settings!$A$20:$A$23,0))&amp;". ","")&amp;IF(AND(W113="Accept",BG113=""),"Acceptance expiry missing. ","")&amp;IF(AND(BG113&lt;&gt;"",BG113&lt;TODAY()),"Acceptance expired. ","")&amp;IF(AND(W113&lt;&gt;"",W113&lt;&gt;"Accept",AV113=""),"Target rating not set. ","")&amp;IF(AND(BE113="Closed",AX113="No"),"Closed while outside appetite. ","")&amp;IF(AND(W113="Transfer",BE113&lt;&gt;"Transferred",BE113&lt;&gt;"Closed"),"Transfer: record the contract, SLA and audit rights. ","")&amp;IF(AZ113="","Risk owner missing. ","")&amp;IF(K113="","Scenario not written. ",""))))</f>
        <v/>
      </c>
      <c r="BM113" s="82" t="n"/>
    </row>
    <row r="114">
      <c r="A114" s="94" t="n"/>
      <c r="B114" s="93" t="n"/>
      <c r="C114" s="80" t="n"/>
      <c r="D114" s="81">
        <f>IF(C114="","",IFERROR(INDEX(Lists!$O$2:$O$13,MATCH(C114,Lists!$N$2:$N$13,0)),"Check domain code"))</f>
        <v/>
      </c>
      <c r="E114" s="81">
        <f>IF(C114="","",IFERROR(INDEX(Lists!$P$2:$P$13,MATCH(C114,Lists!$N$2:$N$13,0)),""))</f>
        <v/>
      </c>
      <c r="F114" s="80" t="n"/>
      <c r="G114" s="82" t="n"/>
      <c r="H114" s="82" t="n"/>
      <c r="I114" s="82" t="n"/>
      <c r="J114" s="93" t="n"/>
      <c r="K114" s="82" t="n"/>
      <c r="L114" s="82" t="n"/>
      <c r="M114" s="94" t="n"/>
      <c r="N114" s="21" t="n"/>
      <c r="O114" s="82" t="n"/>
      <c r="P114" s="85" t="n"/>
      <c r="Q114" s="85" t="n"/>
      <c r="R114" s="85" t="n"/>
      <c r="S114" s="21">
        <f>IF(OR(Q114="",R114=""),"",Q114*R114)</f>
        <v/>
      </c>
      <c r="T114" s="21">
        <f>IF(S114="","",INDEX(Settings!$A$20:$A$23,MATCH(S114,Settings!$B$20:$B$23,1)))</f>
        <v/>
      </c>
      <c r="U114" s="82" t="n"/>
      <c r="V114" s="86" t="n"/>
      <c r="W114" s="85" t="n"/>
      <c r="X114" s="82" t="n"/>
      <c r="Y114" s="95" t="n"/>
      <c r="Z114" s="95" t="n"/>
      <c r="AA114" s="95" t="n"/>
      <c r="AB114" s="95" t="n"/>
      <c r="AC114" s="95" t="n"/>
      <c r="AD114" s="95" t="n"/>
      <c r="AE114" s="95" t="n"/>
      <c r="AF114" s="95" t="n"/>
      <c r="AG114" s="95" t="n"/>
      <c r="AH114" s="95" t="n"/>
      <c r="AI114" s="95" t="n"/>
      <c r="AJ114" s="96" t="n"/>
      <c r="AK114" s="95" t="n"/>
      <c r="AL114" s="95" t="n"/>
      <c r="AM114" s="95" t="n"/>
      <c r="AN114" s="95" t="n"/>
      <c r="AO114" s="95" t="n"/>
      <c r="AP114" s="95" t="n"/>
      <c r="AQ114" s="96" t="n"/>
      <c r="AR114" s="96" t="n"/>
      <c r="AS114" s="85" t="n"/>
      <c r="AT114" s="85" t="n"/>
      <c r="AU114" s="21">
        <f>IF(OR(AS114="",AT114=""),"",AS114*AT114)</f>
        <v/>
      </c>
      <c r="AV114" s="21">
        <f>IF(AU114="","",INDEX(Settings!$A$20:$A$23,MATCH(AU114,Settings!$B$20:$B$23,1)))</f>
        <v/>
      </c>
      <c r="AW114" s="21">
        <f>IF(AV114&lt;&gt;"",AV114,T114)</f>
        <v/>
      </c>
      <c r="AX114" s="21">
        <f>IF(AW114="","",IF(MATCH(AW114,Settings!$A$20:$A$23,0)&lt;=MATCH(Settings!$C$28,Settings!$A$20:$A$23,0),"Yes","No"))</f>
        <v/>
      </c>
      <c r="AY114" s="81">
        <f>IF(AW114="","",IF(AX114="Yes",INDEX(Settings!$G$20:$G$23,MATCH(AW114,Settings!$A$20:$A$23,0)),INDEX(Settings!$G$20:$G$23,MATCH(AW114,Settings!$A$20:$A$23,0))&amp;" (outside appetite)"))</f>
        <v/>
      </c>
      <c r="AZ114" s="82" t="n"/>
      <c r="BA114" s="82" t="n"/>
      <c r="BB114" s="89" t="n"/>
      <c r="BC114" s="90">
        <f>IF(OR(BB114="",T114=""),"",BB114+INDEX(Settings!$E$20:$E$23,MATCH(T114,Settings!$A$20:$A$23,0)))</f>
        <v/>
      </c>
      <c r="BD114" s="89" t="n"/>
      <c r="BE114" s="82" t="n"/>
      <c r="BF114" s="81">
        <f>IF(A114="","",IF(OR(BE114="Closed",BE114="Accepted"),"No action",IF(BB114="","Set date identified",IF(TODAY()&gt;BC114,"Deadline exceeded",IF(BC114-TODAY()&lt;=Settings!$C$30,"Deadline approaching","On track")))))</f>
        <v/>
      </c>
      <c r="BG114" s="89" t="n"/>
      <c r="BH114" s="89" t="n"/>
      <c r="BI114" s="90">
        <f>IF(OR(BH114="",AW114=""),"",EDATE(BH114,INDEX(Settings!$F$20:$F$23,MATCH(AW114,Settings!$A$20:$A$23,0))))</f>
        <v/>
      </c>
      <c r="BJ114" s="21">
        <f>IF(T114="","",IF(MAX(IF(T114="",0,MATCH(T114,Settings!$A$20:$A$23,0)),IF(AV114="",0,MATCH(AV114,Settings!$A$20:$A$23,0)))&gt;=MATCH(Settings!$C$29,Settings!$A$20:$A$23,0),"Yes","No"))</f>
        <v/>
      </c>
      <c r="BK114" s="82" t="n"/>
      <c r="BL114" s="81">
        <f>IF(A114="","",IF(TRIM(IF(W114="","Treatment not chosen. ","")&amp;IF(AND(W114="Accept",AX114="No"),"Accepted outside appetite: record approval by "&amp;INDEX(Settings!$G$20:$G$23,MATCH(AW114,Settings!$A$20:$A$23,0))&amp;". ","")&amp;IF(AND(W114="Accept",BG114=""),"Acceptance expiry missing. ","")&amp;IF(AND(BG114&lt;&gt;"",BG114&lt;TODAY()),"Acceptance expired. ","")&amp;IF(AND(W114&lt;&gt;"",W114&lt;&gt;"Accept",AV114=""),"Target rating not set. ","")&amp;IF(AND(BE114="Closed",AX114="No"),"Closed while outside appetite. ","")&amp;IF(AND(W114="Transfer",BE114&lt;&gt;"Transferred",BE114&lt;&gt;"Closed"),"Transfer: record the contract, SLA and audit rights. ","")&amp;IF(AZ114="","Risk owner missing. ","")&amp;IF(K114="","Scenario not written. ",""))="","OK",TRIM(IF(W114="","Treatment not chosen. ","")&amp;IF(AND(W114="Accept",AX114="No"),"Accepted outside appetite: record approval by "&amp;INDEX(Settings!$G$20:$G$23,MATCH(AW114,Settings!$A$20:$A$23,0))&amp;". ","")&amp;IF(AND(W114="Accept",BG114=""),"Acceptance expiry missing. ","")&amp;IF(AND(BG114&lt;&gt;"",BG114&lt;TODAY()),"Acceptance expired. ","")&amp;IF(AND(W114&lt;&gt;"",W114&lt;&gt;"Accept",AV114=""),"Target rating not set. ","")&amp;IF(AND(BE114="Closed",AX114="No"),"Closed while outside appetite. ","")&amp;IF(AND(W114="Transfer",BE114&lt;&gt;"Transferred",BE114&lt;&gt;"Closed"),"Transfer: record the contract, SLA and audit rights. ","")&amp;IF(AZ114="","Risk owner missing. ","")&amp;IF(K114="","Scenario not written. ",""))))</f>
        <v/>
      </c>
      <c r="BM114" s="82" t="n"/>
    </row>
    <row r="115">
      <c r="A115" s="84" t="n"/>
      <c r="B115" s="83" t="n"/>
      <c r="C115" s="80" t="n"/>
      <c r="D115" s="81">
        <f>IF(C115="","",IFERROR(INDEX(Lists!$O$2:$O$13,MATCH(C115,Lists!$N$2:$N$13,0)),"Check domain code"))</f>
        <v/>
      </c>
      <c r="E115" s="81">
        <f>IF(C115="","",IFERROR(INDEX(Lists!$P$2:$P$13,MATCH(C115,Lists!$N$2:$N$13,0)),""))</f>
        <v/>
      </c>
      <c r="F115" s="80" t="n"/>
      <c r="G115" s="82" t="n"/>
      <c r="H115" s="82" t="n"/>
      <c r="I115" s="82" t="n"/>
      <c r="J115" s="83" t="n"/>
      <c r="K115" s="82" t="n"/>
      <c r="L115" s="82" t="n"/>
      <c r="M115" s="84" t="n"/>
      <c r="N115" s="21" t="n"/>
      <c r="O115" s="82" t="n"/>
      <c r="P115" s="85" t="n"/>
      <c r="Q115" s="85" t="n"/>
      <c r="R115" s="85" t="n"/>
      <c r="S115" s="21">
        <f>IF(OR(Q115="",R115=""),"",Q115*R115)</f>
        <v/>
      </c>
      <c r="T115" s="21">
        <f>IF(S115="","",INDEX(Settings!$A$20:$A$23,MATCH(S115,Settings!$B$20:$B$23,1)))</f>
        <v/>
      </c>
      <c r="U115" s="82" t="n"/>
      <c r="V115" s="86" t="n"/>
      <c r="W115" s="85" t="n"/>
      <c r="X115" s="82" t="n"/>
      <c r="Y115" s="87" t="n"/>
      <c r="Z115" s="87" t="n"/>
      <c r="AA115" s="87" t="n"/>
      <c r="AB115" s="87" t="n"/>
      <c r="AC115" s="87" t="n"/>
      <c r="AD115" s="87" t="n"/>
      <c r="AE115" s="87" t="n"/>
      <c r="AF115" s="87" t="n"/>
      <c r="AG115" s="87" t="n"/>
      <c r="AH115" s="87" t="n"/>
      <c r="AI115" s="87" t="n"/>
      <c r="AJ115" s="88" t="n"/>
      <c r="AK115" s="87" t="n"/>
      <c r="AL115" s="87" t="n"/>
      <c r="AM115" s="87" t="n"/>
      <c r="AN115" s="87" t="n"/>
      <c r="AO115" s="87" t="n"/>
      <c r="AP115" s="87" t="n"/>
      <c r="AQ115" s="88" t="n"/>
      <c r="AR115" s="88" t="n"/>
      <c r="AS115" s="85" t="n"/>
      <c r="AT115" s="85" t="n"/>
      <c r="AU115" s="21">
        <f>IF(OR(AS115="",AT115=""),"",AS115*AT115)</f>
        <v/>
      </c>
      <c r="AV115" s="21">
        <f>IF(AU115="","",INDEX(Settings!$A$20:$A$23,MATCH(AU115,Settings!$B$20:$B$23,1)))</f>
        <v/>
      </c>
      <c r="AW115" s="21">
        <f>IF(AV115&lt;&gt;"",AV115,T115)</f>
        <v/>
      </c>
      <c r="AX115" s="21">
        <f>IF(AW115="","",IF(MATCH(AW115,Settings!$A$20:$A$23,0)&lt;=MATCH(Settings!$C$28,Settings!$A$20:$A$23,0),"Yes","No"))</f>
        <v/>
      </c>
      <c r="AY115" s="81">
        <f>IF(AW115="","",IF(AX115="Yes",INDEX(Settings!$G$20:$G$23,MATCH(AW115,Settings!$A$20:$A$23,0)),INDEX(Settings!$G$20:$G$23,MATCH(AW115,Settings!$A$20:$A$23,0))&amp;" (outside appetite)"))</f>
        <v/>
      </c>
      <c r="AZ115" s="82" t="n"/>
      <c r="BA115" s="82" t="n"/>
      <c r="BB115" s="89" t="n"/>
      <c r="BC115" s="90">
        <f>IF(OR(BB115="",T115=""),"",BB115+INDEX(Settings!$E$20:$E$23,MATCH(T115,Settings!$A$20:$A$23,0)))</f>
        <v/>
      </c>
      <c r="BD115" s="89" t="n"/>
      <c r="BE115" s="82" t="n"/>
      <c r="BF115" s="81">
        <f>IF(A115="","",IF(OR(BE115="Closed",BE115="Accepted"),"No action",IF(BB115="","Set date identified",IF(TODAY()&gt;BC115,"Deadline exceeded",IF(BC115-TODAY()&lt;=Settings!$C$30,"Deadline approaching","On track")))))</f>
        <v/>
      </c>
      <c r="BG115" s="89" t="n"/>
      <c r="BH115" s="89" t="n"/>
      <c r="BI115" s="90">
        <f>IF(OR(BH115="",AW115=""),"",EDATE(BH115,INDEX(Settings!$F$20:$F$23,MATCH(AW115,Settings!$A$20:$A$23,0))))</f>
        <v/>
      </c>
      <c r="BJ115" s="21">
        <f>IF(T115="","",IF(MAX(IF(T115="",0,MATCH(T115,Settings!$A$20:$A$23,0)),IF(AV115="",0,MATCH(AV115,Settings!$A$20:$A$23,0)))&gt;=MATCH(Settings!$C$29,Settings!$A$20:$A$23,0),"Yes","No"))</f>
        <v/>
      </c>
      <c r="BK115" s="82" t="n"/>
      <c r="BL115" s="81">
        <f>IF(A115="","",IF(TRIM(IF(W115="","Treatment not chosen. ","")&amp;IF(AND(W115="Accept",AX115="No"),"Accepted outside appetite: record approval by "&amp;INDEX(Settings!$G$20:$G$23,MATCH(AW115,Settings!$A$20:$A$23,0))&amp;". ","")&amp;IF(AND(W115="Accept",BG115=""),"Acceptance expiry missing. ","")&amp;IF(AND(BG115&lt;&gt;"",BG115&lt;TODAY()),"Acceptance expired. ","")&amp;IF(AND(W115&lt;&gt;"",W115&lt;&gt;"Accept",AV115=""),"Target rating not set. ","")&amp;IF(AND(BE115="Closed",AX115="No"),"Closed while outside appetite. ","")&amp;IF(AND(W115="Transfer",BE115&lt;&gt;"Transferred",BE115&lt;&gt;"Closed"),"Transfer: record the contract, SLA and audit rights. ","")&amp;IF(AZ115="","Risk owner missing. ","")&amp;IF(K115="","Scenario not written. ",""))="","OK",TRIM(IF(W115="","Treatment not chosen. ","")&amp;IF(AND(W115="Accept",AX115="No"),"Accepted outside appetite: record approval by "&amp;INDEX(Settings!$G$20:$G$23,MATCH(AW115,Settings!$A$20:$A$23,0))&amp;". ","")&amp;IF(AND(W115="Accept",BG115=""),"Acceptance expiry missing. ","")&amp;IF(AND(BG115&lt;&gt;"",BG115&lt;TODAY()),"Acceptance expired. ","")&amp;IF(AND(W115&lt;&gt;"",W115&lt;&gt;"Accept",AV115=""),"Target rating not set. ","")&amp;IF(AND(BE115="Closed",AX115="No"),"Closed while outside appetite. ","")&amp;IF(AND(W115="Transfer",BE115&lt;&gt;"Transferred",BE115&lt;&gt;"Closed"),"Transfer: record the contract, SLA and audit rights. ","")&amp;IF(AZ115="","Risk owner missing. ","")&amp;IF(K115="","Scenario not written. ",""))))</f>
        <v/>
      </c>
      <c r="BM115" s="82" t="n"/>
    </row>
    <row r="116">
      <c r="A116" s="94" t="n"/>
      <c r="B116" s="93" t="n"/>
      <c r="C116" s="80" t="n"/>
      <c r="D116" s="81">
        <f>IF(C116="","",IFERROR(INDEX(Lists!$O$2:$O$13,MATCH(C116,Lists!$N$2:$N$13,0)),"Check domain code"))</f>
        <v/>
      </c>
      <c r="E116" s="81">
        <f>IF(C116="","",IFERROR(INDEX(Lists!$P$2:$P$13,MATCH(C116,Lists!$N$2:$N$13,0)),""))</f>
        <v/>
      </c>
      <c r="F116" s="80" t="n"/>
      <c r="G116" s="82" t="n"/>
      <c r="H116" s="82" t="n"/>
      <c r="I116" s="82" t="n"/>
      <c r="J116" s="93" t="n"/>
      <c r="K116" s="82" t="n"/>
      <c r="L116" s="82" t="n"/>
      <c r="M116" s="94" t="n"/>
      <c r="N116" s="21" t="n"/>
      <c r="O116" s="82" t="n"/>
      <c r="P116" s="85" t="n"/>
      <c r="Q116" s="85" t="n"/>
      <c r="R116" s="85" t="n"/>
      <c r="S116" s="21">
        <f>IF(OR(Q116="",R116=""),"",Q116*R116)</f>
        <v/>
      </c>
      <c r="T116" s="21">
        <f>IF(S116="","",INDEX(Settings!$A$20:$A$23,MATCH(S116,Settings!$B$20:$B$23,1)))</f>
        <v/>
      </c>
      <c r="U116" s="82" t="n"/>
      <c r="V116" s="86" t="n"/>
      <c r="W116" s="85" t="n"/>
      <c r="X116" s="82" t="n"/>
      <c r="Y116" s="95" t="n"/>
      <c r="Z116" s="95" t="n"/>
      <c r="AA116" s="95" t="n"/>
      <c r="AB116" s="95" t="n"/>
      <c r="AC116" s="95" t="n"/>
      <c r="AD116" s="95" t="n"/>
      <c r="AE116" s="95" t="n"/>
      <c r="AF116" s="95" t="n"/>
      <c r="AG116" s="95" t="n"/>
      <c r="AH116" s="95" t="n"/>
      <c r="AI116" s="95" t="n"/>
      <c r="AJ116" s="96" t="n"/>
      <c r="AK116" s="95" t="n"/>
      <c r="AL116" s="95" t="n"/>
      <c r="AM116" s="95" t="n"/>
      <c r="AN116" s="95" t="n"/>
      <c r="AO116" s="95" t="n"/>
      <c r="AP116" s="95" t="n"/>
      <c r="AQ116" s="96" t="n"/>
      <c r="AR116" s="96" t="n"/>
      <c r="AS116" s="85" t="n"/>
      <c r="AT116" s="85" t="n"/>
      <c r="AU116" s="21">
        <f>IF(OR(AS116="",AT116=""),"",AS116*AT116)</f>
        <v/>
      </c>
      <c r="AV116" s="21">
        <f>IF(AU116="","",INDEX(Settings!$A$20:$A$23,MATCH(AU116,Settings!$B$20:$B$23,1)))</f>
        <v/>
      </c>
      <c r="AW116" s="21">
        <f>IF(AV116&lt;&gt;"",AV116,T116)</f>
        <v/>
      </c>
      <c r="AX116" s="21">
        <f>IF(AW116="","",IF(MATCH(AW116,Settings!$A$20:$A$23,0)&lt;=MATCH(Settings!$C$28,Settings!$A$20:$A$23,0),"Yes","No"))</f>
        <v/>
      </c>
      <c r="AY116" s="81">
        <f>IF(AW116="","",IF(AX116="Yes",INDEX(Settings!$G$20:$G$23,MATCH(AW116,Settings!$A$20:$A$23,0)),INDEX(Settings!$G$20:$G$23,MATCH(AW116,Settings!$A$20:$A$23,0))&amp;" (outside appetite)"))</f>
        <v/>
      </c>
      <c r="AZ116" s="82" t="n"/>
      <c r="BA116" s="82" t="n"/>
      <c r="BB116" s="89" t="n"/>
      <c r="BC116" s="90">
        <f>IF(OR(BB116="",T116=""),"",BB116+INDEX(Settings!$E$20:$E$23,MATCH(T116,Settings!$A$20:$A$23,0)))</f>
        <v/>
      </c>
      <c r="BD116" s="89" t="n"/>
      <c r="BE116" s="82" t="n"/>
      <c r="BF116" s="81">
        <f>IF(A116="","",IF(OR(BE116="Closed",BE116="Accepted"),"No action",IF(BB116="","Set date identified",IF(TODAY()&gt;BC116,"Deadline exceeded",IF(BC116-TODAY()&lt;=Settings!$C$30,"Deadline approaching","On track")))))</f>
        <v/>
      </c>
      <c r="BG116" s="89" t="n"/>
      <c r="BH116" s="89" t="n"/>
      <c r="BI116" s="90">
        <f>IF(OR(BH116="",AW116=""),"",EDATE(BH116,INDEX(Settings!$F$20:$F$23,MATCH(AW116,Settings!$A$20:$A$23,0))))</f>
        <v/>
      </c>
      <c r="BJ116" s="21">
        <f>IF(T116="","",IF(MAX(IF(T116="",0,MATCH(T116,Settings!$A$20:$A$23,0)),IF(AV116="",0,MATCH(AV116,Settings!$A$20:$A$23,0)))&gt;=MATCH(Settings!$C$29,Settings!$A$20:$A$23,0),"Yes","No"))</f>
        <v/>
      </c>
      <c r="BK116" s="82" t="n"/>
      <c r="BL116" s="81">
        <f>IF(A116="","",IF(TRIM(IF(W116="","Treatment not chosen. ","")&amp;IF(AND(W116="Accept",AX116="No"),"Accepted outside appetite: record approval by "&amp;INDEX(Settings!$G$20:$G$23,MATCH(AW116,Settings!$A$20:$A$23,0))&amp;". ","")&amp;IF(AND(W116="Accept",BG116=""),"Acceptance expiry missing. ","")&amp;IF(AND(BG116&lt;&gt;"",BG116&lt;TODAY()),"Acceptance expired. ","")&amp;IF(AND(W116&lt;&gt;"",W116&lt;&gt;"Accept",AV116=""),"Target rating not set. ","")&amp;IF(AND(BE116="Closed",AX116="No"),"Closed while outside appetite. ","")&amp;IF(AND(W116="Transfer",BE116&lt;&gt;"Transferred",BE116&lt;&gt;"Closed"),"Transfer: record the contract, SLA and audit rights. ","")&amp;IF(AZ116="","Risk owner missing. ","")&amp;IF(K116="","Scenario not written. ",""))="","OK",TRIM(IF(W116="","Treatment not chosen. ","")&amp;IF(AND(W116="Accept",AX116="No"),"Accepted outside appetite: record approval by "&amp;INDEX(Settings!$G$20:$G$23,MATCH(AW116,Settings!$A$20:$A$23,0))&amp;". ","")&amp;IF(AND(W116="Accept",BG116=""),"Acceptance expiry missing. ","")&amp;IF(AND(BG116&lt;&gt;"",BG116&lt;TODAY()),"Acceptance expired. ","")&amp;IF(AND(W116&lt;&gt;"",W116&lt;&gt;"Accept",AV116=""),"Target rating not set. ","")&amp;IF(AND(BE116="Closed",AX116="No"),"Closed while outside appetite. ","")&amp;IF(AND(W116="Transfer",BE116&lt;&gt;"Transferred",BE116&lt;&gt;"Closed"),"Transfer: record the contract, SLA and audit rights. ","")&amp;IF(AZ116="","Risk owner missing. ","")&amp;IF(K116="","Scenario not written. ",""))))</f>
        <v/>
      </c>
      <c r="BM116" s="82" t="n"/>
    </row>
    <row r="117">
      <c r="A117" s="84" t="n"/>
      <c r="B117" s="83" t="n"/>
      <c r="C117" s="80" t="n"/>
      <c r="D117" s="81">
        <f>IF(C117="","",IFERROR(INDEX(Lists!$O$2:$O$13,MATCH(C117,Lists!$N$2:$N$13,0)),"Check domain code"))</f>
        <v/>
      </c>
      <c r="E117" s="81">
        <f>IF(C117="","",IFERROR(INDEX(Lists!$P$2:$P$13,MATCH(C117,Lists!$N$2:$N$13,0)),""))</f>
        <v/>
      </c>
      <c r="F117" s="80" t="n"/>
      <c r="G117" s="82" t="n"/>
      <c r="H117" s="82" t="n"/>
      <c r="I117" s="82" t="n"/>
      <c r="J117" s="83" t="n"/>
      <c r="K117" s="82" t="n"/>
      <c r="L117" s="82" t="n"/>
      <c r="M117" s="84" t="n"/>
      <c r="N117" s="21" t="n"/>
      <c r="O117" s="82" t="n"/>
      <c r="P117" s="85" t="n"/>
      <c r="Q117" s="85" t="n"/>
      <c r="R117" s="85" t="n"/>
      <c r="S117" s="21">
        <f>IF(OR(Q117="",R117=""),"",Q117*R117)</f>
        <v/>
      </c>
      <c r="T117" s="21">
        <f>IF(S117="","",INDEX(Settings!$A$20:$A$23,MATCH(S117,Settings!$B$20:$B$23,1)))</f>
        <v/>
      </c>
      <c r="U117" s="82" t="n"/>
      <c r="V117" s="86" t="n"/>
      <c r="W117" s="85" t="n"/>
      <c r="X117" s="82" t="n"/>
      <c r="Y117" s="87" t="n"/>
      <c r="Z117" s="87" t="n"/>
      <c r="AA117" s="87" t="n"/>
      <c r="AB117" s="87" t="n"/>
      <c r="AC117" s="87" t="n"/>
      <c r="AD117" s="87" t="n"/>
      <c r="AE117" s="87" t="n"/>
      <c r="AF117" s="87" t="n"/>
      <c r="AG117" s="87" t="n"/>
      <c r="AH117" s="87" t="n"/>
      <c r="AI117" s="87" t="n"/>
      <c r="AJ117" s="88" t="n"/>
      <c r="AK117" s="87" t="n"/>
      <c r="AL117" s="87" t="n"/>
      <c r="AM117" s="87" t="n"/>
      <c r="AN117" s="87" t="n"/>
      <c r="AO117" s="87" t="n"/>
      <c r="AP117" s="87" t="n"/>
      <c r="AQ117" s="88" t="n"/>
      <c r="AR117" s="88" t="n"/>
      <c r="AS117" s="85" t="n"/>
      <c r="AT117" s="85" t="n"/>
      <c r="AU117" s="21">
        <f>IF(OR(AS117="",AT117=""),"",AS117*AT117)</f>
        <v/>
      </c>
      <c r="AV117" s="21">
        <f>IF(AU117="","",INDEX(Settings!$A$20:$A$23,MATCH(AU117,Settings!$B$20:$B$23,1)))</f>
        <v/>
      </c>
      <c r="AW117" s="21">
        <f>IF(AV117&lt;&gt;"",AV117,T117)</f>
        <v/>
      </c>
      <c r="AX117" s="21">
        <f>IF(AW117="","",IF(MATCH(AW117,Settings!$A$20:$A$23,0)&lt;=MATCH(Settings!$C$28,Settings!$A$20:$A$23,0),"Yes","No"))</f>
        <v/>
      </c>
      <c r="AY117" s="81">
        <f>IF(AW117="","",IF(AX117="Yes",INDEX(Settings!$G$20:$G$23,MATCH(AW117,Settings!$A$20:$A$23,0)),INDEX(Settings!$G$20:$G$23,MATCH(AW117,Settings!$A$20:$A$23,0))&amp;" (outside appetite)"))</f>
        <v/>
      </c>
      <c r="AZ117" s="82" t="n"/>
      <c r="BA117" s="82" t="n"/>
      <c r="BB117" s="89" t="n"/>
      <c r="BC117" s="90">
        <f>IF(OR(BB117="",T117=""),"",BB117+INDEX(Settings!$E$20:$E$23,MATCH(T117,Settings!$A$20:$A$23,0)))</f>
        <v/>
      </c>
      <c r="BD117" s="89" t="n"/>
      <c r="BE117" s="82" t="n"/>
      <c r="BF117" s="81">
        <f>IF(A117="","",IF(OR(BE117="Closed",BE117="Accepted"),"No action",IF(BB117="","Set date identified",IF(TODAY()&gt;BC117,"Deadline exceeded",IF(BC117-TODAY()&lt;=Settings!$C$30,"Deadline approaching","On track")))))</f>
        <v/>
      </c>
      <c r="BG117" s="89" t="n"/>
      <c r="BH117" s="89" t="n"/>
      <c r="BI117" s="90">
        <f>IF(OR(BH117="",AW117=""),"",EDATE(BH117,INDEX(Settings!$F$20:$F$23,MATCH(AW117,Settings!$A$20:$A$23,0))))</f>
        <v/>
      </c>
      <c r="BJ117" s="21">
        <f>IF(T117="","",IF(MAX(IF(T117="",0,MATCH(T117,Settings!$A$20:$A$23,0)),IF(AV117="",0,MATCH(AV117,Settings!$A$20:$A$23,0)))&gt;=MATCH(Settings!$C$29,Settings!$A$20:$A$23,0),"Yes","No"))</f>
        <v/>
      </c>
      <c r="BK117" s="82" t="n"/>
      <c r="BL117" s="81">
        <f>IF(A117="","",IF(TRIM(IF(W117="","Treatment not chosen. ","")&amp;IF(AND(W117="Accept",AX117="No"),"Accepted outside appetite: record approval by "&amp;INDEX(Settings!$G$20:$G$23,MATCH(AW117,Settings!$A$20:$A$23,0))&amp;". ","")&amp;IF(AND(W117="Accept",BG117=""),"Acceptance expiry missing. ","")&amp;IF(AND(BG117&lt;&gt;"",BG117&lt;TODAY()),"Acceptance expired. ","")&amp;IF(AND(W117&lt;&gt;"",W117&lt;&gt;"Accept",AV117=""),"Target rating not set. ","")&amp;IF(AND(BE117="Closed",AX117="No"),"Closed while outside appetite. ","")&amp;IF(AND(W117="Transfer",BE117&lt;&gt;"Transferred",BE117&lt;&gt;"Closed"),"Transfer: record the contract, SLA and audit rights. ","")&amp;IF(AZ117="","Risk owner missing. ","")&amp;IF(K117="","Scenario not written. ",""))="","OK",TRIM(IF(W117="","Treatment not chosen. ","")&amp;IF(AND(W117="Accept",AX117="No"),"Accepted outside appetite: record approval by "&amp;INDEX(Settings!$G$20:$G$23,MATCH(AW117,Settings!$A$20:$A$23,0))&amp;". ","")&amp;IF(AND(W117="Accept",BG117=""),"Acceptance expiry missing. ","")&amp;IF(AND(BG117&lt;&gt;"",BG117&lt;TODAY()),"Acceptance expired. ","")&amp;IF(AND(W117&lt;&gt;"",W117&lt;&gt;"Accept",AV117=""),"Target rating not set. ","")&amp;IF(AND(BE117="Closed",AX117="No"),"Closed while outside appetite. ","")&amp;IF(AND(W117="Transfer",BE117&lt;&gt;"Transferred",BE117&lt;&gt;"Closed"),"Transfer: record the contract, SLA and audit rights. ","")&amp;IF(AZ117="","Risk owner missing. ","")&amp;IF(K117="","Scenario not written. ",""))))</f>
        <v/>
      </c>
      <c r="BM117" s="82" t="n"/>
    </row>
    <row r="118">
      <c r="A118" s="94" t="n"/>
      <c r="B118" s="93" t="n"/>
      <c r="C118" s="80" t="n"/>
      <c r="D118" s="81">
        <f>IF(C118="","",IFERROR(INDEX(Lists!$O$2:$O$13,MATCH(C118,Lists!$N$2:$N$13,0)),"Check domain code"))</f>
        <v/>
      </c>
      <c r="E118" s="81">
        <f>IF(C118="","",IFERROR(INDEX(Lists!$P$2:$P$13,MATCH(C118,Lists!$N$2:$N$13,0)),""))</f>
        <v/>
      </c>
      <c r="F118" s="80" t="n"/>
      <c r="G118" s="82" t="n"/>
      <c r="H118" s="82" t="n"/>
      <c r="I118" s="82" t="n"/>
      <c r="J118" s="93" t="n"/>
      <c r="K118" s="82" t="n"/>
      <c r="L118" s="82" t="n"/>
      <c r="M118" s="94" t="n"/>
      <c r="N118" s="21" t="n"/>
      <c r="O118" s="82" t="n"/>
      <c r="P118" s="85" t="n"/>
      <c r="Q118" s="85" t="n"/>
      <c r="R118" s="85" t="n"/>
      <c r="S118" s="21">
        <f>IF(OR(Q118="",R118=""),"",Q118*R118)</f>
        <v/>
      </c>
      <c r="T118" s="21">
        <f>IF(S118="","",INDEX(Settings!$A$20:$A$23,MATCH(S118,Settings!$B$20:$B$23,1)))</f>
        <v/>
      </c>
      <c r="U118" s="82" t="n"/>
      <c r="V118" s="86" t="n"/>
      <c r="W118" s="85" t="n"/>
      <c r="X118" s="82" t="n"/>
      <c r="Y118" s="95" t="n"/>
      <c r="Z118" s="95" t="n"/>
      <c r="AA118" s="95" t="n"/>
      <c r="AB118" s="95" t="n"/>
      <c r="AC118" s="95" t="n"/>
      <c r="AD118" s="95" t="n"/>
      <c r="AE118" s="95" t="n"/>
      <c r="AF118" s="95" t="n"/>
      <c r="AG118" s="95" t="n"/>
      <c r="AH118" s="95" t="n"/>
      <c r="AI118" s="95" t="n"/>
      <c r="AJ118" s="96" t="n"/>
      <c r="AK118" s="95" t="n"/>
      <c r="AL118" s="95" t="n"/>
      <c r="AM118" s="95" t="n"/>
      <c r="AN118" s="95" t="n"/>
      <c r="AO118" s="95" t="n"/>
      <c r="AP118" s="95" t="n"/>
      <c r="AQ118" s="96" t="n"/>
      <c r="AR118" s="96" t="n"/>
      <c r="AS118" s="85" t="n"/>
      <c r="AT118" s="85" t="n"/>
      <c r="AU118" s="21">
        <f>IF(OR(AS118="",AT118=""),"",AS118*AT118)</f>
        <v/>
      </c>
      <c r="AV118" s="21">
        <f>IF(AU118="","",INDEX(Settings!$A$20:$A$23,MATCH(AU118,Settings!$B$20:$B$23,1)))</f>
        <v/>
      </c>
      <c r="AW118" s="21">
        <f>IF(AV118&lt;&gt;"",AV118,T118)</f>
        <v/>
      </c>
      <c r="AX118" s="21">
        <f>IF(AW118="","",IF(MATCH(AW118,Settings!$A$20:$A$23,0)&lt;=MATCH(Settings!$C$28,Settings!$A$20:$A$23,0),"Yes","No"))</f>
        <v/>
      </c>
      <c r="AY118" s="81">
        <f>IF(AW118="","",IF(AX118="Yes",INDEX(Settings!$G$20:$G$23,MATCH(AW118,Settings!$A$20:$A$23,0)),INDEX(Settings!$G$20:$G$23,MATCH(AW118,Settings!$A$20:$A$23,0))&amp;" (outside appetite)"))</f>
        <v/>
      </c>
      <c r="AZ118" s="82" t="n"/>
      <c r="BA118" s="82" t="n"/>
      <c r="BB118" s="89" t="n"/>
      <c r="BC118" s="90">
        <f>IF(OR(BB118="",T118=""),"",BB118+INDEX(Settings!$E$20:$E$23,MATCH(T118,Settings!$A$20:$A$23,0)))</f>
        <v/>
      </c>
      <c r="BD118" s="89" t="n"/>
      <c r="BE118" s="82" t="n"/>
      <c r="BF118" s="81">
        <f>IF(A118="","",IF(OR(BE118="Closed",BE118="Accepted"),"No action",IF(BB118="","Set date identified",IF(TODAY()&gt;BC118,"Deadline exceeded",IF(BC118-TODAY()&lt;=Settings!$C$30,"Deadline approaching","On track")))))</f>
        <v/>
      </c>
      <c r="BG118" s="89" t="n"/>
      <c r="BH118" s="89" t="n"/>
      <c r="BI118" s="90">
        <f>IF(OR(BH118="",AW118=""),"",EDATE(BH118,INDEX(Settings!$F$20:$F$23,MATCH(AW118,Settings!$A$20:$A$23,0))))</f>
        <v/>
      </c>
      <c r="BJ118" s="21">
        <f>IF(T118="","",IF(MAX(IF(T118="",0,MATCH(T118,Settings!$A$20:$A$23,0)),IF(AV118="",0,MATCH(AV118,Settings!$A$20:$A$23,0)))&gt;=MATCH(Settings!$C$29,Settings!$A$20:$A$23,0),"Yes","No"))</f>
        <v/>
      </c>
      <c r="BK118" s="82" t="n"/>
      <c r="BL118" s="81">
        <f>IF(A118="","",IF(TRIM(IF(W118="","Treatment not chosen. ","")&amp;IF(AND(W118="Accept",AX118="No"),"Accepted outside appetite: record approval by "&amp;INDEX(Settings!$G$20:$G$23,MATCH(AW118,Settings!$A$20:$A$23,0))&amp;". ","")&amp;IF(AND(W118="Accept",BG118=""),"Acceptance expiry missing. ","")&amp;IF(AND(BG118&lt;&gt;"",BG118&lt;TODAY()),"Acceptance expired. ","")&amp;IF(AND(W118&lt;&gt;"",W118&lt;&gt;"Accept",AV118=""),"Target rating not set. ","")&amp;IF(AND(BE118="Closed",AX118="No"),"Closed while outside appetite. ","")&amp;IF(AND(W118="Transfer",BE118&lt;&gt;"Transferred",BE118&lt;&gt;"Closed"),"Transfer: record the contract, SLA and audit rights. ","")&amp;IF(AZ118="","Risk owner missing. ","")&amp;IF(K118="","Scenario not written. ",""))="","OK",TRIM(IF(W118="","Treatment not chosen. ","")&amp;IF(AND(W118="Accept",AX118="No"),"Accepted outside appetite: record approval by "&amp;INDEX(Settings!$G$20:$G$23,MATCH(AW118,Settings!$A$20:$A$23,0))&amp;". ","")&amp;IF(AND(W118="Accept",BG118=""),"Acceptance expiry missing. ","")&amp;IF(AND(BG118&lt;&gt;"",BG118&lt;TODAY()),"Acceptance expired. ","")&amp;IF(AND(W118&lt;&gt;"",W118&lt;&gt;"Accept",AV118=""),"Target rating not set. ","")&amp;IF(AND(BE118="Closed",AX118="No"),"Closed while outside appetite. ","")&amp;IF(AND(W118="Transfer",BE118&lt;&gt;"Transferred",BE118&lt;&gt;"Closed"),"Transfer: record the contract, SLA and audit rights. ","")&amp;IF(AZ118="","Risk owner missing. ","")&amp;IF(K118="","Scenario not written. ",""))))</f>
        <v/>
      </c>
      <c r="BM118" s="82" t="n"/>
    </row>
    <row r="119">
      <c r="A119" s="84" t="n"/>
      <c r="B119" s="83" t="n"/>
      <c r="C119" s="80" t="n"/>
      <c r="D119" s="81">
        <f>IF(C119="","",IFERROR(INDEX(Lists!$O$2:$O$13,MATCH(C119,Lists!$N$2:$N$13,0)),"Check domain code"))</f>
        <v/>
      </c>
      <c r="E119" s="81">
        <f>IF(C119="","",IFERROR(INDEX(Lists!$P$2:$P$13,MATCH(C119,Lists!$N$2:$N$13,0)),""))</f>
        <v/>
      </c>
      <c r="F119" s="80" t="n"/>
      <c r="G119" s="82" t="n"/>
      <c r="H119" s="82" t="n"/>
      <c r="I119" s="82" t="n"/>
      <c r="J119" s="83" t="n"/>
      <c r="K119" s="82" t="n"/>
      <c r="L119" s="82" t="n"/>
      <c r="M119" s="84" t="n"/>
      <c r="N119" s="21" t="n"/>
      <c r="O119" s="82" t="n"/>
      <c r="P119" s="85" t="n"/>
      <c r="Q119" s="85" t="n"/>
      <c r="R119" s="85" t="n"/>
      <c r="S119" s="21">
        <f>IF(OR(Q119="",R119=""),"",Q119*R119)</f>
        <v/>
      </c>
      <c r="T119" s="21">
        <f>IF(S119="","",INDEX(Settings!$A$20:$A$23,MATCH(S119,Settings!$B$20:$B$23,1)))</f>
        <v/>
      </c>
      <c r="U119" s="82" t="n"/>
      <c r="V119" s="86" t="n"/>
      <c r="W119" s="85" t="n"/>
      <c r="X119" s="82" t="n"/>
      <c r="Y119" s="87" t="n"/>
      <c r="Z119" s="87" t="n"/>
      <c r="AA119" s="87" t="n"/>
      <c r="AB119" s="87" t="n"/>
      <c r="AC119" s="87" t="n"/>
      <c r="AD119" s="87" t="n"/>
      <c r="AE119" s="87" t="n"/>
      <c r="AF119" s="87" t="n"/>
      <c r="AG119" s="87" t="n"/>
      <c r="AH119" s="87" t="n"/>
      <c r="AI119" s="87" t="n"/>
      <c r="AJ119" s="88" t="n"/>
      <c r="AK119" s="87" t="n"/>
      <c r="AL119" s="87" t="n"/>
      <c r="AM119" s="87" t="n"/>
      <c r="AN119" s="87" t="n"/>
      <c r="AO119" s="87" t="n"/>
      <c r="AP119" s="87" t="n"/>
      <c r="AQ119" s="88" t="n"/>
      <c r="AR119" s="88" t="n"/>
      <c r="AS119" s="85" t="n"/>
      <c r="AT119" s="85" t="n"/>
      <c r="AU119" s="21">
        <f>IF(OR(AS119="",AT119=""),"",AS119*AT119)</f>
        <v/>
      </c>
      <c r="AV119" s="21">
        <f>IF(AU119="","",INDEX(Settings!$A$20:$A$23,MATCH(AU119,Settings!$B$20:$B$23,1)))</f>
        <v/>
      </c>
      <c r="AW119" s="21">
        <f>IF(AV119&lt;&gt;"",AV119,T119)</f>
        <v/>
      </c>
      <c r="AX119" s="21">
        <f>IF(AW119="","",IF(MATCH(AW119,Settings!$A$20:$A$23,0)&lt;=MATCH(Settings!$C$28,Settings!$A$20:$A$23,0),"Yes","No"))</f>
        <v/>
      </c>
      <c r="AY119" s="81">
        <f>IF(AW119="","",IF(AX119="Yes",INDEX(Settings!$G$20:$G$23,MATCH(AW119,Settings!$A$20:$A$23,0)),INDEX(Settings!$G$20:$G$23,MATCH(AW119,Settings!$A$20:$A$23,0))&amp;" (outside appetite)"))</f>
        <v/>
      </c>
      <c r="AZ119" s="82" t="n"/>
      <c r="BA119" s="82" t="n"/>
      <c r="BB119" s="89" t="n"/>
      <c r="BC119" s="90">
        <f>IF(OR(BB119="",T119=""),"",BB119+INDEX(Settings!$E$20:$E$23,MATCH(T119,Settings!$A$20:$A$23,0)))</f>
        <v/>
      </c>
      <c r="BD119" s="89" t="n"/>
      <c r="BE119" s="82" t="n"/>
      <c r="BF119" s="81">
        <f>IF(A119="","",IF(OR(BE119="Closed",BE119="Accepted"),"No action",IF(BB119="","Set date identified",IF(TODAY()&gt;BC119,"Deadline exceeded",IF(BC119-TODAY()&lt;=Settings!$C$30,"Deadline approaching","On track")))))</f>
        <v/>
      </c>
      <c r="BG119" s="89" t="n"/>
      <c r="BH119" s="89" t="n"/>
      <c r="BI119" s="90">
        <f>IF(OR(BH119="",AW119=""),"",EDATE(BH119,INDEX(Settings!$F$20:$F$23,MATCH(AW119,Settings!$A$20:$A$23,0))))</f>
        <v/>
      </c>
      <c r="BJ119" s="21">
        <f>IF(T119="","",IF(MAX(IF(T119="",0,MATCH(T119,Settings!$A$20:$A$23,0)),IF(AV119="",0,MATCH(AV119,Settings!$A$20:$A$23,0)))&gt;=MATCH(Settings!$C$29,Settings!$A$20:$A$23,0),"Yes","No"))</f>
        <v/>
      </c>
      <c r="BK119" s="82" t="n"/>
      <c r="BL119" s="81">
        <f>IF(A119="","",IF(TRIM(IF(W119="","Treatment not chosen. ","")&amp;IF(AND(W119="Accept",AX119="No"),"Accepted outside appetite: record approval by "&amp;INDEX(Settings!$G$20:$G$23,MATCH(AW119,Settings!$A$20:$A$23,0))&amp;". ","")&amp;IF(AND(W119="Accept",BG119=""),"Acceptance expiry missing. ","")&amp;IF(AND(BG119&lt;&gt;"",BG119&lt;TODAY()),"Acceptance expired. ","")&amp;IF(AND(W119&lt;&gt;"",W119&lt;&gt;"Accept",AV119=""),"Target rating not set. ","")&amp;IF(AND(BE119="Closed",AX119="No"),"Closed while outside appetite. ","")&amp;IF(AND(W119="Transfer",BE119&lt;&gt;"Transferred",BE119&lt;&gt;"Closed"),"Transfer: record the contract, SLA and audit rights. ","")&amp;IF(AZ119="","Risk owner missing. ","")&amp;IF(K119="","Scenario not written. ",""))="","OK",TRIM(IF(W119="","Treatment not chosen. ","")&amp;IF(AND(W119="Accept",AX119="No"),"Accepted outside appetite: record approval by "&amp;INDEX(Settings!$G$20:$G$23,MATCH(AW119,Settings!$A$20:$A$23,0))&amp;". ","")&amp;IF(AND(W119="Accept",BG119=""),"Acceptance expiry missing. ","")&amp;IF(AND(BG119&lt;&gt;"",BG119&lt;TODAY()),"Acceptance expired. ","")&amp;IF(AND(W119&lt;&gt;"",W119&lt;&gt;"Accept",AV119=""),"Target rating not set. ","")&amp;IF(AND(BE119="Closed",AX119="No"),"Closed while outside appetite. ","")&amp;IF(AND(W119="Transfer",BE119&lt;&gt;"Transferred",BE119&lt;&gt;"Closed"),"Transfer: record the contract, SLA and audit rights. ","")&amp;IF(AZ119="","Risk owner missing. ","")&amp;IF(K119="","Scenario not written. ",""))))</f>
        <v/>
      </c>
      <c r="BM119" s="82" t="n"/>
    </row>
    <row r="120">
      <c r="A120" s="94" t="n"/>
      <c r="B120" s="93" t="n"/>
      <c r="C120" s="80" t="n"/>
      <c r="D120" s="81">
        <f>IF(C120="","",IFERROR(INDEX(Lists!$O$2:$O$13,MATCH(C120,Lists!$N$2:$N$13,0)),"Check domain code"))</f>
        <v/>
      </c>
      <c r="E120" s="81">
        <f>IF(C120="","",IFERROR(INDEX(Lists!$P$2:$P$13,MATCH(C120,Lists!$N$2:$N$13,0)),""))</f>
        <v/>
      </c>
      <c r="F120" s="80" t="n"/>
      <c r="G120" s="82" t="n"/>
      <c r="H120" s="82" t="n"/>
      <c r="I120" s="82" t="n"/>
      <c r="J120" s="93" t="n"/>
      <c r="K120" s="82" t="n"/>
      <c r="L120" s="82" t="n"/>
      <c r="M120" s="94" t="n"/>
      <c r="N120" s="21" t="n"/>
      <c r="O120" s="82" t="n"/>
      <c r="P120" s="85" t="n"/>
      <c r="Q120" s="85" t="n"/>
      <c r="R120" s="85" t="n"/>
      <c r="S120" s="21">
        <f>IF(OR(Q120="",R120=""),"",Q120*R120)</f>
        <v/>
      </c>
      <c r="T120" s="21">
        <f>IF(S120="","",INDEX(Settings!$A$20:$A$23,MATCH(S120,Settings!$B$20:$B$23,1)))</f>
        <v/>
      </c>
      <c r="U120" s="82" t="n"/>
      <c r="V120" s="86" t="n"/>
      <c r="W120" s="85" t="n"/>
      <c r="X120" s="82" t="n"/>
      <c r="Y120" s="95" t="n"/>
      <c r="Z120" s="95" t="n"/>
      <c r="AA120" s="95" t="n"/>
      <c r="AB120" s="95" t="n"/>
      <c r="AC120" s="95" t="n"/>
      <c r="AD120" s="95" t="n"/>
      <c r="AE120" s="95" t="n"/>
      <c r="AF120" s="95" t="n"/>
      <c r="AG120" s="95" t="n"/>
      <c r="AH120" s="95" t="n"/>
      <c r="AI120" s="95" t="n"/>
      <c r="AJ120" s="96" t="n"/>
      <c r="AK120" s="95" t="n"/>
      <c r="AL120" s="95" t="n"/>
      <c r="AM120" s="95" t="n"/>
      <c r="AN120" s="95" t="n"/>
      <c r="AO120" s="95" t="n"/>
      <c r="AP120" s="95" t="n"/>
      <c r="AQ120" s="96" t="n"/>
      <c r="AR120" s="96" t="n"/>
      <c r="AS120" s="85" t="n"/>
      <c r="AT120" s="85" t="n"/>
      <c r="AU120" s="21">
        <f>IF(OR(AS120="",AT120=""),"",AS120*AT120)</f>
        <v/>
      </c>
      <c r="AV120" s="21">
        <f>IF(AU120="","",INDEX(Settings!$A$20:$A$23,MATCH(AU120,Settings!$B$20:$B$23,1)))</f>
        <v/>
      </c>
      <c r="AW120" s="21">
        <f>IF(AV120&lt;&gt;"",AV120,T120)</f>
        <v/>
      </c>
      <c r="AX120" s="21">
        <f>IF(AW120="","",IF(MATCH(AW120,Settings!$A$20:$A$23,0)&lt;=MATCH(Settings!$C$28,Settings!$A$20:$A$23,0),"Yes","No"))</f>
        <v/>
      </c>
      <c r="AY120" s="81">
        <f>IF(AW120="","",IF(AX120="Yes",INDEX(Settings!$G$20:$G$23,MATCH(AW120,Settings!$A$20:$A$23,0)),INDEX(Settings!$G$20:$G$23,MATCH(AW120,Settings!$A$20:$A$23,0))&amp;" (outside appetite)"))</f>
        <v/>
      </c>
      <c r="AZ120" s="82" t="n"/>
      <c r="BA120" s="82" t="n"/>
      <c r="BB120" s="89" t="n"/>
      <c r="BC120" s="90">
        <f>IF(OR(BB120="",T120=""),"",BB120+INDEX(Settings!$E$20:$E$23,MATCH(T120,Settings!$A$20:$A$23,0)))</f>
        <v/>
      </c>
      <c r="BD120" s="89" t="n"/>
      <c r="BE120" s="82" t="n"/>
      <c r="BF120" s="81">
        <f>IF(A120="","",IF(OR(BE120="Closed",BE120="Accepted"),"No action",IF(BB120="","Set date identified",IF(TODAY()&gt;BC120,"Deadline exceeded",IF(BC120-TODAY()&lt;=Settings!$C$30,"Deadline approaching","On track")))))</f>
        <v/>
      </c>
      <c r="BG120" s="89" t="n"/>
      <c r="BH120" s="89" t="n"/>
      <c r="BI120" s="90">
        <f>IF(OR(BH120="",AW120=""),"",EDATE(BH120,INDEX(Settings!$F$20:$F$23,MATCH(AW120,Settings!$A$20:$A$23,0))))</f>
        <v/>
      </c>
      <c r="BJ120" s="21">
        <f>IF(T120="","",IF(MAX(IF(T120="",0,MATCH(T120,Settings!$A$20:$A$23,0)),IF(AV120="",0,MATCH(AV120,Settings!$A$20:$A$23,0)))&gt;=MATCH(Settings!$C$29,Settings!$A$20:$A$23,0),"Yes","No"))</f>
        <v/>
      </c>
      <c r="BK120" s="82" t="n"/>
      <c r="BL120" s="81">
        <f>IF(A120="","",IF(TRIM(IF(W120="","Treatment not chosen. ","")&amp;IF(AND(W120="Accept",AX120="No"),"Accepted outside appetite: record approval by "&amp;INDEX(Settings!$G$20:$G$23,MATCH(AW120,Settings!$A$20:$A$23,0))&amp;". ","")&amp;IF(AND(W120="Accept",BG120=""),"Acceptance expiry missing. ","")&amp;IF(AND(BG120&lt;&gt;"",BG120&lt;TODAY()),"Acceptance expired. ","")&amp;IF(AND(W120&lt;&gt;"",W120&lt;&gt;"Accept",AV120=""),"Target rating not set. ","")&amp;IF(AND(BE120="Closed",AX120="No"),"Closed while outside appetite. ","")&amp;IF(AND(W120="Transfer",BE120&lt;&gt;"Transferred",BE120&lt;&gt;"Closed"),"Transfer: record the contract, SLA and audit rights. ","")&amp;IF(AZ120="","Risk owner missing. ","")&amp;IF(K120="","Scenario not written. ",""))="","OK",TRIM(IF(W120="","Treatment not chosen. ","")&amp;IF(AND(W120="Accept",AX120="No"),"Accepted outside appetite: record approval by "&amp;INDEX(Settings!$G$20:$G$23,MATCH(AW120,Settings!$A$20:$A$23,0))&amp;". ","")&amp;IF(AND(W120="Accept",BG120=""),"Acceptance expiry missing. ","")&amp;IF(AND(BG120&lt;&gt;"",BG120&lt;TODAY()),"Acceptance expired. ","")&amp;IF(AND(W120&lt;&gt;"",W120&lt;&gt;"Accept",AV120=""),"Target rating not set. ","")&amp;IF(AND(BE120="Closed",AX120="No"),"Closed while outside appetite. ","")&amp;IF(AND(W120="Transfer",BE120&lt;&gt;"Transferred",BE120&lt;&gt;"Closed"),"Transfer: record the contract, SLA and audit rights. ","")&amp;IF(AZ120="","Risk owner missing. ","")&amp;IF(K120="","Scenario not written. ",""))))</f>
        <v/>
      </c>
      <c r="BM120" s="82" t="n"/>
    </row>
    <row r="121">
      <c r="A121" s="84" t="n"/>
      <c r="B121" s="83" t="n"/>
      <c r="C121" s="80" t="n"/>
      <c r="D121" s="81">
        <f>IF(C121="","",IFERROR(INDEX(Lists!$O$2:$O$13,MATCH(C121,Lists!$N$2:$N$13,0)),"Check domain code"))</f>
        <v/>
      </c>
      <c r="E121" s="81">
        <f>IF(C121="","",IFERROR(INDEX(Lists!$P$2:$P$13,MATCH(C121,Lists!$N$2:$N$13,0)),""))</f>
        <v/>
      </c>
      <c r="F121" s="80" t="n"/>
      <c r="G121" s="82" t="n"/>
      <c r="H121" s="82" t="n"/>
      <c r="I121" s="82" t="n"/>
      <c r="J121" s="83" t="n"/>
      <c r="K121" s="82" t="n"/>
      <c r="L121" s="82" t="n"/>
      <c r="M121" s="84" t="n"/>
      <c r="N121" s="21" t="n"/>
      <c r="O121" s="82" t="n"/>
      <c r="P121" s="85" t="n"/>
      <c r="Q121" s="85" t="n"/>
      <c r="R121" s="85" t="n"/>
      <c r="S121" s="21">
        <f>IF(OR(Q121="",R121=""),"",Q121*R121)</f>
        <v/>
      </c>
      <c r="T121" s="21">
        <f>IF(S121="","",INDEX(Settings!$A$20:$A$23,MATCH(S121,Settings!$B$20:$B$23,1)))</f>
        <v/>
      </c>
      <c r="U121" s="82" t="n"/>
      <c r="V121" s="86" t="n"/>
      <c r="W121" s="85" t="n"/>
      <c r="X121" s="82" t="n"/>
      <c r="Y121" s="87" t="n"/>
      <c r="Z121" s="87" t="n"/>
      <c r="AA121" s="87" t="n"/>
      <c r="AB121" s="87" t="n"/>
      <c r="AC121" s="87" t="n"/>
      <c r="AD121" s="87" t="n"/>
      <c r="AE121" s="87" t="n"/>
      <c r="AF121" s="87" t="n"/>
      <c r="AG121" s="87" t="n"/>
      <c r="AH121" s="87" t="n"/>
      <c r="AI121" s="87" t="n"/>
      <c r="AJ121" s="88" t="n"/>
      <c r="AK121" s="87" t="n"/>
      <c r="AL121" s="87" t="n"/>
      <c r="AM121" s="87" t="n"/>
      <c r="AN121" s="87" t="n"/>
      <c r="AO121" s="87" t="n"/>
      <c r="AP121" s="87" t="n"/>
      <c r="AQ121" s="88" t="n"/>
      <c r="AR121" s="88" t="n"/>
      <c r="AS121" s="85" t="n"/>
      <c r="AT121" s="85" t="n"/>
      <c r="AU121" s="21">
        <f>IF(OR(AS121="",AT121=""),"",AS121*AT121)</f>
        <v/>
      </c>
      <c r="AV121" s="21">
        <f>IF(AU121="","",INDEX(Settings!$A$20:$A$23,MATCH(AU121,Settings!$B$20:$B$23,1)))</f>
        <v/>
      </c>
      <c r="AW121" s="21">
        <f>IF(AV121&lt;&gt;"",AV121,T121)</f>
        <v/>
      </c>
      <c r="AX121" s="21">
        <f>IF(AW121="","",IF(MATCH(AW121,Settings!$A$20:$A$23,0)&lt;=MATCH(Settings!$C$28,Settings!$A$20:$A$23,0),"Yes","No"))</f>
        <v/>
      </c>
      <c r="AY121" s="81">
        <f>IF(AW121="","",IF(AX121="Yes",INDEX(Settings!$G$20:$G$23,MATCH(AW121,Settings!$A$20:$A$23,0)),INDEX(Settings!$G$20:$G$23,MATCH(AW121,Settings!$A$20:$A$23,0))&amp;" (outside appetite)"))</f>
        <v/>
      </c>
      <c r="AZ121" s="82" t="n"/>
      <c r="BA121" s="82" t="n"/>
      <c r="BB121" s="89" t="n"/>
      <c r="BC121" s="90">
        <f>IF(OR(BB121="",T121=""),"",BB121+INDEX(Settings!$E$20:$E$23,MATCH(T121,Settings!$A$20:$A$23,0)))</f>
        <v/>
      </c>
      <c r="BD121" s="89" t="n"/>
      <c r="BE121" s="82" t="n"/>
      <c r="BF121" s="81">
        <f>IF(A121="","",IF(OR(BE121="Closed",BE121="Accepted"),"No action",IF(BB121="","Set date identified",IF(TODAY()&gt;BC121,"Deadline exceeded",IF(BC121-TODAY()&lt;=Settings!$C$30,"Deadline approaching","On track")))))</f>
        <v/>
      </c>
      <c r="BG121" s="89" t="n"/>
      <c r="BH121" s="89" t="n"/>
      <c r="BI121" s="90">
        <f>IF(OR(BH121="",AW121=""),"",EDATE(BH121,INDEX(Settings!$F$20:$F$23,MATCH(AW121,Settings!$A$20:$A$23,0))))</f>
        <v/>
      </c>
      <c r="BJ121" s="21">
        <f>IF(T121="","",IF(MAX(IF(T121="",0,MATCH(T121,Settings!$A$20:$A$23,0)),IF(AV121="",0,MATCH(AV121,Settings!$A$20:$A$23,0)))&gt;=MATCH(Settings!$C$29,Settings!$A$20:$A$23,0),"Yes","No"))</f>
        <v/>
      </c>
      <c r="BK121" s="82" t="n"/>
      <c r="BL121" s="81">
        <f>IF(A121="","",IF(TRIM(IF(W121="","Treatment not chosen. ","")&amp;IF(AND(W121="Accept",AX121="No"),"Accepted outside appetite: record approval by "&amp;INDEX(Settings!$G$20:$G$23,MATCH(AW121,Settings!$A$20:$A$23,0))&amp;". ","")&amp;IF(AND(W121="Accept",BG121=""),"Acceptance expiry missing. ","")&amp;IF(AND(BG121&lt;&gt;"",BG121&lt;TODAY()),"Acceptance expired. ","")&amp;IF(AND(W121&lt;&gt;"",W121&lt;&gt;"Accept",AV121=""),"Target rating not set. ","")&amp;IF(AND(BE121="Closed",AX121="No"),"Closed while outside appetite. ","")&amp;IF(AND(W121="Transfer",BE121&lt;&gt;"Transferred",BE121&lt;&gt;"Closed"),"Transfer: record the contract, SLA and audit rights. ","")&amp;IF(AZ121="","Risk owner missing. ","")&amp;IF(K121="","Scenario not written. ",""))="","OK",TRIM(IF(W121="","Treatment not chosen. ","")&amp;IF(AND(W121="Accept",AX121="No"),"Accepted outside appetite: record approval by "&amp;INDEX(Settings!$G$20:$G$23,MATCH(AW121,Settings!$A$20:$A$23,0))&amp;". ","")&amp;IF(AND(W121="Accept",BG121=""),"Acceptance expiry missing. ","")&amp;IF(AND(BG121&lt;&gt;"",BG121&lt;TODAY()),"Acceptance expired. ","")&amp;IF(AND(W121&lt;&gt;"",W121&lt;&gt;"Accept",AV121=""),"Target rating not set. ","")&amp;IF(AND(BE121="Closed",AX121="No"),"Closed while outside appetite. ","")&amp;IF(AND(W121="Transfer",BE121&lt;&gt;"Transferred",BE121&lt;&gt;"Closed"),"Transfer: record the contract, SLA and audit rights. ","")&amp;IF(AZ121="","Risk owner missing. ","")&amp;IF(K121="","Scenario not written. ",""))))</f>
        <v/>
      </c>
      <c r="BM121" s="82" t="n"/>
    </row>
    <row r="122">
      <c r="A122" s="94" t="n"/>
      <c r="B122" s="93" t="n"/>
      <c r="C122" s="80" t="n"/>
      <c r="D122" s="81">
        <f>IF(C122="","",IFERROR(INDEX(Lists!$O$2:$O$13,MATCH(C122,Lists!$N$2:$N$13,0)),"Check domain code"))</f>
        <v/>
      </c>
      <c r="E122" s="81">
        <f>IF(C122="","",IFERROR(INDEX(Lists!$P$2:$P$13,MATCH(C122,Lists!$N$2:$N$13,0)),""))</f>
        <v/>
      </c>
      <c r="F122" s="80" t="n"/>
      <c r="G122" s="82" t="n"/>
      <c r="H122" s="82" t="n"/>
      <c r="I122" s="82" t="n"/>
      <c r="J122" s="93" t="n"/>
      <c r="K122" s="82" t="n"/>
      <c r="L122" s="82" t="n"/>
      <c r="M122" s="94" t="n"/>
      <c r="N122" s="21" t="n"/>
      <c r="O122" s="82" t="n"/>
      <c r="P122" s="85" t="n"/>
      <c r="Q122" s="85" t="n"/>
      <c r="R122" s="85" t="n"/>
      <c r="S122" s="21">
        <f>IF(OR(Q122="",R122=""),"",Q122*R122)</f>
        <v/>
      </c>
      <c r="T122" s="21">
        <f>IF(S122="","",INDEX(Settings!$A$20:$A$23,MATCH(S122,Settings!$B$20:$B$23,1)))</f>
        <v/>
      </c>
      <c r="U122" s="82" t="n"/>
      <c r="V122" s="86" t="n"/>
      <c r="W122" s="85" t="n"/>
      <c r="X122" s="82" t="n"/>
      <c r="Y122" s="95" t="n"/>
      <c r="Z122" s="95" t="n"/>
      <c r="AA122" s="95" t="n"/>
      <c r="AB122" s="95" t="n"/>
      <c r="AC122" s="95" t="n"/>
      <c r="AD122" s="95" t="n"/>
      <c r="AE122" s="95" t="n"/>
      <c r="AF122" s="95" t="n"/>
      <c r="AG122" s="95" t="n"/>
      <c r="AH122" s="95" t="n"/>
      <c r="AI122" s="95" t="n"/>
      <c r="AJ122" s="96" t="n"/>
      <c r="AK122" s="95" t="n"/>
      <c r="AL122" s="95" t="n"/>
      <c r="AM122" s="95" t="n"/>
      <c r="AN122" s="95" t="n"/>
      <c r="AO122" s="95" t="n"/>
      <c r="AP122" s="95" t="n"/>
      <c r="AQ122" s="96" t="n"/>
      <c r="AR122" s="96" t="n"/>
      <c r="AS122" s="85" t="n"/>
      <c r="AT122" s="85" t="n"/>
      <c r="AU122" s="21">
        <f>IF(OR(AS122="",AT122=""),"",AS122*AT122)</f>
        <v/>
      </c>
      <c r="AV122" s="21">
        <f>IF(AU122="","",INDEX(Settings!$A$20:$A$23,MATCH(AU122,Settings!$B$20:$B$23,1)))</f>
        <v/>
      </c>
      <c r="AW122" s="21">
        <f>IF(AV122&lt;&gt;"",AV122,T122)</f>
        <v/>
      </c>
      <c r="AX122" s="21">
        <f>IF(AW122="","",IF(MATCH(AW122,Settings!$A$20:$A$23,0)&lt;=MATCH(Settings!$C$28,Settings!$A$20:$A$23,0),"Yes","No"))</f>
        <v/>
      </c>
      <c r="AY122" s="81">
        <f>IF(AW122="","",IF(AX122="Yes",INDEX(Settings!$G$20:$G$23,MATCH(AW122,Settings!$A$20:$A$23,0)),INDEX(Settings!$G$20:$G$23,MATCH(AW122,Settings!$A$20:$A$23,0))&amp;" (outside appetite)"))</f>
        <v/>
      </c>
      <c r="AZ122" s="82" t="n"/>
      <c r="BA122" s="82" t="n"/>
      <c r="BB122" s="89" t="n"/>
      <c r="BC122" s="90">
        <f>IF(OR(BB122="",T122=""),"",BB122+INDEX(Settings!$E$20:$E$23,MATCH(T122,Settings!$A$20:$A$23,0)))</f>
        <v/>
      </c>
      <c r="BD122" s="89" t="n"/>
      <c r="BE122" s="82" t="n"/>
      <c r="BF122" s="81">
        <f>IF(A122="","",IF(OR(BE122="Closed",BE122="Accepted"),"No action",IF(BB122="","Set date identified",IF(TODAY()&gt;BC122,"Deadline exceeded",IF(BC122-TODAY()&lt;=Settings!$C$30,"Deadline approaching","On track")))))</f>
        <v/>
      </c>
      <c r="BG122" s="89" t="n"/>
      <c r="BH122" s="89" t="n"/>
      <c r="BI122" s="90">
        <f>IF(OR(BH122="",AW122=""),"",EDATE(BH122,INDEX(Settings!$F$20:$F$23,MATCH(AW122,Settings!$A$20:$A$23,0))))</f>
        <v/>
      </c>
      <c r="BJ122" s="21">
        <f>IF(T122="","",IF(MAX(IF(T122="",0,MATCH(T122,Settings!$A$20:$A$23,0)),IF(AV122="",0,MATCH(AV122,Settings!$A$20:$A$23,0)))&gt;=MATCH(Settings!$C$29,Settings!$A$20:$A$23,0),"Yes","No"))</f>
        <v/>
      </c>
      <c r="BK122" s="82" t="n"/>
      <c r="BL122" s="81">
        <f>IF(A122="","",IF(TRIM(IF(W122="","Treatment not chosen. ","")&amp;IF(AND(W122="Accept",AX122="No"),"Accepted outside appetite: record approval by "&amp;INDEX(Settings!$G$20:$G$23,MATCH(AW122,Settings!$A$20:$A$23,0))&amp;". ","")&amp;IF(AND(W122="Accept",BG122=""),"Acceptance expiry missing. ","")&amp;IF(AND(BG122&lt;&gt;"",BG122&lt;TODAY()),"Acceptance expired. ","")&amp;IF(AND(W122&lt;&gt;"",W122&lt;&gt;"Accept",AV122=""),"Target rating not set. ","")&amp;IF(AND(BE122="Closed",AX122="No"),"Closed while outside appetite. ","")&amp;IF(AND(W122="Transfer",BE122&lt;&gt;"Transferred",BE122&lt;&gt;"Closed"),"Transfer: record the contract, SLA and audit rights. ","")&amp;IF(AZ122="","Risk owner missing. ","")&amp;IF(K122="","Scenario not written. ",""))="","OK",TRIM(IF(W122="","Treatment not chosen. ","")&amp;IF(AND(W122="Accept",AX122="No"),"Accepted outside appetite: record approval by "&amp;INDEX(Settings!$G$20:$G$23,MATCH(AW122,Settings!$A$20:$A$23,0))&amp;". ","")&amp;IF(AND(W122="Accept",BG122=""),"Acceptance expiry missing. ","")&amp;IF(AND(BG122&lt;&gt;"",BG122&lt;TODAY()),"Acceptance expired. ","")&amp;IF(AND(W122&lt;&gt;"",W122&lt;&gt;"Accept",AV122=""),"Target rating not set. ","")&amp;IF(AND(BE122="Closed",AX122="No"),"Closed while outside appetite. ","")&amp;IF(AND(W122="Transfer",BE122&lt;&gt;"Transferred",BE122&lt;&gt;"Closed"),"Transfer: record the contract, SLA and audit rights. ","")&amp;IF(AZ122="","Risk owner missing. ","")&amp;IF(K122="","Scenario not written. ",""))))</f>
        <v/>
      </c>
      <c r="BM122" s="82" t="n"/>
    </row>
    <row r="123">
      <c r="A123" s="84" t="n"/>
      <c r="B123" s="83" t="n"/>
      <c r="C123" s="80" t="n"/>
      <c r="D123" s="81">
        <f>IF(C123="","",IFERROR(INDEX(Lists!$O$2:$O$13,MATCH(C123,Lists!$N$2:$N$13,0)),"Check domain code"))</f>
        <v/>
      </c>
      <c r="E123" s="81">
        <f>IF(C123="","",IFERROR(INDEX(Lists!$P$2:$P$13,MATCH(C123,Lists!$N$2:$N$13,0)),""))</f>
        <v/>
      </c>
      <c r="F123" s="80" t="n"/>
      <c r="G123" s="82" t="n"/>
      <c r="H123" s="82" t="n"/>
      <c r="I123" s="82" t="n"/>
      <c r="J123" s="83" t="n"/>
      <c r="K123" s="82" t="n"/>
      <c r="L123" s="82" t="n"/>
      <c r="M123" s="84" t="n"/>
      <c r="N123" s="21" t="n"/>
      <c r="O123" s="82" t="n"/>
      <c r="P123" s="85" t="n"/>
      <c r="Q123" s="85" t="n"/>
      <c r="R123" s="85" t="n"/>
      <c r="S123" s="21">
        <f>IF(OR(Q123="",R123=""),"",Q123*R123)</f>
        <v/>
      </c>
      <c r="T123" s="21">
        <f>IF(S123="","",INDEX(Settings!$A$20:$A$23,MATCH(S123,Settings!$B$20:$B$23,1)))</f>
        <v/>
      </c>
      <c r="U123" s="82" t="n"/>
      <c r="V123" s="86" t="n"/>
      <c r="W123" s="85" t="n"/>
      <c r="X123" s="82" t="n"/>
      <c r="Y123" s="87" t="n"/>
      <c r="Z123" s="87" t="n"/>
      <c r="AA123" s="87" t="n"/>
      <c r="AB123" s="87" t="n"/>
      <c r="AC123" s="87" t="n"/>
      <c r="AD123" s="87" t="n"/>
      <c r="AE123" s="87" t="n"/>
      <c r="AF123" s="87" t="n"/>
      <c r="AG123" s="87" t="n"/>
      <c r="AH123" s="87" t="n"/>
      <c r="AI123" s="87" t="n"/>
      <c r="AJ123" s="88" t="n"/>
      <c r="AK123" s="87" t="n"/>
      <c r="AL123" s="87" t="n"/>
      <c r="AM123" s="87" t="n"/>
      <c r="AN123" s="87" t="n"/>
      <c r="AO123" s="87" t="n"/>
      <c r="AP123" s="87" t="n"/>
      <c r="AQ123" s="88" t="n"/>
      <c r="AR123" s="88" t="n"/>
      <c r="AS123" s="85" t="n"/>
      <c r="AT123" s="85" t="n"/>
      <c r="AU123" s="21">
        <f>IF(OR(AS123="",AT123=""),"",AS123*AT123)</f>
        <v/>
      </c>
      <c r="AV123" s="21">
        <f>IF(AU123="","",INDEX(Settings!$A$20:$A$23,MATCH(AU123,Settings!$B$20:$B$23,1)))</f>
        <v/>
      </c>
      <c r="AW123" s="21">
        <f>IF(AV123&lt;&gt;"",AV123,T123)</f>
        <v/>
      </c>
      <c r="AX123" s="21">
        <f>IF(AW123="","",IF(MATCH(AW123,Settings!$A$20:$A$23,0)&lt;=MATCH(Settings!$C$28,Settings!$A$20:$A$23,0),"Yes","No"))</f>
        <v/>
      </c>
      <c r="AY123" s="81">
        <f>IF(AW123="","",IF(AX123="Yes",INDEX(Settings!$G$20:$G$23,MATCH(AW123,Settings!$A$20:$A$23,0)),INDEX(Settings!$G$20:$G$23,MATCH(AW123,Settings!$A$20:$A$23,0))&amp;" (outside appetite)"))</f>
        <v/>
      </c>
      <c r="AZ123" s="82" t="n"/>
      <c r="BA123" s="82" t="n"/>
      <c r="BB123" s="89" t="n"/>
      <c r="BC123" s="90">
        <f>IF(OR(BB123="",T123=""),"",BB123+INDEX(Settings!$E$20:$E$23,MATCH(T123,Settings!$A$20:$A$23,0)))</f>
        <v/>
      </c>
      <c r="BD123" s="89" t="n"/>
      <c r="BE123" s="82" t="n"/>
      <c r="BF123" s="81">
        <f>IF(A123="","",IF(OR(BE123="Closed",BE123="Accepted"),"No action",IF(BB123="","Set date identified",IF(TODAY()&gt;BC123,"Deadline exceeded",IF(BC123-TODAY()&lt;=Settings!$C$30,"Deadline approaching","On track")))))</f>
        <v/>
      </c>
      <c r="BG123" s="89" t="n"/>
      <c r="BH123" s="89" t="n"/>
      <c r="BI123" s="90">
        <f>IF(OR(BH123="",AW123=""),"",EDATE(BH123,INDEX(Settings!$F$20:$F$23,MATCH(AW123,Settings!$A$20:$A$23,0))))</f>
        <v/>
      </c>
      <c r="BJ123" s="21">
        <f>IF(T123="","",IF(MAX(IF(T123="",0,MATCH(T123,Settings!$A$20:$A$23,0)),IF(AV123="",0,MATCH(AV123,Settings!$A$20:$A$23,0)))&gt;=MATCH(Settings!$C$29,Settings!$A$20:$A$23,0),"Yes","No"))</f>
        <v/>
      </c>
      <c r="BK123" s="82" t="n"/>
      <c r="BL123" s="81">
        <f>IF(A123="","",IF(TRIM(IF(W123="","Treatment not chosen. ","")&amp;IF(AND(W123="Accept",AX123="No"),"Accepted outside appetite: record approval by "&amp;INDEX(Settings!$G$20:$G$23,MATCH(AW123,Settings!$A$20:$A$23,0))&amp;". ","")&amp;IF(AND(W123="Accept",BG123=""),"Acceptance expiry missing. ","")&amp;IF(AND(BG123&lt;&gt;"",BG123&lt;TODAY()),"Acceptance expired. ","")&amp;IF(AND(W123&lt;&gt;"",W123&lt;&gt;"Accept",AV123=""),"Target rating not set. ","")&amp;IF(AND(BE123="Closed",AX123="No"),"Closed while outside appetite. ","")&amp;IF(AND(W123="Transfer",BE123&lt;&gt;"Transferred",BE123&lt;&gt;"Closed"),"Transfer: record the contract, SLA and audit rights. ","")&amp;IF(AZ123="","Risk owner missing. ","")&amp;IF(K123="","Scenario not written. ",""))="","OK",TRIM(IF(W123="","Treatment not chosen. ","")&amp;IF(AND(W123="Accept",AX123="No"),"Accepted outside appetite: record approval by "&amp;INDEX(Settings!$G$20:$G$23,MATCH(AW123,Settings!$A$20:$A$23,0))&amp;". ","")&amp;IF(AND(W123="Accept",BG123=""),"Acceptance expiry missing. ","")&amp;IF(AND(BG123&lt;&gt;"",BG123&lt;TODAY()),"Acceptance expired. ","")&amp;IF(AND(W123&lt;&gt;"",W123&lt;&gt;"Accept",AV123=""),"Target rating not set. ","")&amp;IF(AND(BE123="Closed",AX123="No"),"Closed while outside appetite. ","")&amp;IF(AND(W123="Transfer",BE123&lt;&gt;"Transferred",BE123&lt;&gt;"Closed"),"Transfer: record the contract, SLA and audit rights. ","")&amp;IF(AZ123="","Risk owner missing. ","")&amp;IF(K123="","Scenario not written. ",""))))</f>
        <v/>
      </c>
      <c r="BM123" s="82" t="n"/>
    </row>
    <row r="124">
      <c r="A124" s="94" t="n"/>
      <c r="B124" s="93" t="n"/>
      <c r="C124" s="80" t="n"/>
      <c r="D124" s="81">
        <f>IF(C124="","",IFERROR(INDEX(Lists!$O$2:$O$13,MATCH(C124,Lists!$N$2:$N$13,0)),"Check domain code"))</f>
        <v/>
      </c>
      <c r="E124" s="81">
        <f>IF(C124="","",IFERROR(INDEX(Lists!$P$2:$P$13,MATCH(C124,Lists!$N$2:$N$13,0)),""))</f>
        <v/>
      </c>
      <c r="F124" s="80" t="n"/>
      <c r="G124" s="82" t="n"/>
      <c r="H124" s="82" t="n"/>
      <c r="I124" s="82" t="n"/>
      <c r="J124" s="93" t="n"/>
      <c r="K124" s="82" t="n"/>
      <c r="L124" s="82" t="n"/>
      <c r="M124" s="94" t="n"/>
      <c r="N124" s="21" t="n"/>
      <c r="O124" s="82" t="n"/>
      <c r="P124" s="85" t="n"/>
      <c r="Q124" s="85" t="n"/>
      <c r="R124" s="85" t="n"/>
      <c r="S124" s="21">
        <f>IF(OR(Q124="",R124=""),"",Q124*R124)</f>
        <v/>
      </c>
      <c r="T124" s="21">
        <f>IF(S124="","",INDEX(Settings!$A$20:$A$23,MATCH(S124,Settings!$B$20:$B$23,1)))</f>
        <v/>
      </c>
      <c r="U124" s="82" t="n"/>
      <c r="V124" s="86" t="n"/>
      <c r="W124" s="85" t="n"/>
      <c r="X124" s="82" t="n"/>
      <c r="Y124" s="95" t="n"/>
      <c r="Z124" s="95" t="n"/>
      <c r="AA124" s="95" t="n"/>
      <c r="AB124" s="95" t="n"/>
      <c r="AC124" s="95" t="n"/>
      <c r="AD124" s="95" t="n"/>
      <c r="AE124" s="95" t="n"/>
      <c r="AF124" s="95" t="n"/>
      <c r="AG124" s="95" t="n"/>
      <c r="AH124" s="95" t="n"/>
      <c r="AI124" s="95" t="n"/>
      <c r="AJ124" s="96" t="n"/>
      <c r="AK124" s="95" t="n"/>
      <c r="AL124" s="95" t="n"/>
      <c r="AM124" s="95" t="n"/>
      <c r="AN124" s="95" t="n"/>
      <c r="AO124" s="95" t="n"/>
      <c r="AP124" s="95" t="n"/>
      <c r="AQ124" s="96" t="n"/>
      <c r="AR124" s="96" t="n"/>
      <c r="AS124" s="85" t="n"/>
      <c r="AT124" s="85" t="n"/>
      <c r="AU124" s="21">
        <f>IF(OR(AS124="",AT124=""),"",AS124*AT124)</f>
        <v/>
      </c>
      <c r="AV124" s="21">
        <f>IF(AU124="","",INDEX(Settings!$A$20:$A$23,MATCH(AU124,Settings!$B$20:$B$23,1)))</f>
        <v/>
      </c>
      <c r="AW124" s="21">
        <f>IF(AV124&lt;&gt;"",AV124,T124)</f>
        <v/>
      </c>
      <c r="AX124" s="21">
        <f>IF(AW124="","",IF(MATCH(AW124,Settings!$A$20:$A$23,0)&lt;=MATCH(Settings!$C$28,Settings!$A$20:$A$23,0),"Yes","No"))</f>
        <v/>
      </c>
      <c r="AY124" s="81">
        <f>IF(AW124="","",IF(AX124="Yes",INDEX(Settings!$G$20:$G$23,MATCH(AW124,Settings!$A$20:$A$23,0)),INDEX(Settings!$G$20:$G$23,MATCH(AW124,Settings!$A$20:$A$23,0))&amp;" (outside appetite)"))</f>
        <v/>
      </c>
      <c r="AZ124" s="82" t="n"/>
      <c r="BA124" s="82" t="n"/>
      <c r="BB124" s="89" t="n"/>
      <c r="BC124" s="90">
        <f>IF(OR(BB124="",T124=""),"",BB124+INDEX(Settings!$E$20:$E$23,MATCH(T124,Settings!$A$20:$A$23,0)))</f>
        <v/>
      </c>
      <c r="BD124" s="89" t="n"/>
      <c r="BE124" s="82" t="n"/>
      <c r="BF124" s="81">
        <f>IF(A124="","",IF(OR(BE124="Closed",BE124="Accepted"),"No action",IF(BB124="","Set date identified",IF(TODAY()&gt;BC124,"Deadline exceeded",IF(BC124-TODAY()&lt;=Settings!$C$30,"Deadline approaching","On track")))))</f>
        <v/>
      </c>
      <c r="BG124" s="89" t="n"/>
      <c r="BH124" s="89" t="n"/>
      <c r="BI124" s="90">
        <f>IF(OR(BH124="",AW124=""),"",EDATE(BH124,INDEX(Settings!$F$20:$F$23,MATCH(AW124,Settings!$A$20:$A$23,0))))</f>
        <v/>
      </c>
      <c r="BJ124" s="21">
        <f>IF(T124="","",IF(MAX(IF(T124="",0,MATCH(T124,Settings!$A$20:$A$23,0)),IF(AV124="",0,MATCH(AV124,Settings!$A$20:$A$23,0)))&gt;=MATCH(Settings!$C$29,Settings!$A$20:$A$23,0),"Yes","No"))</f>
        <v/>
      </c>
      <c r="BK124" s="82" t="n"/>
      <c r="BL124" s="81">
        <f>IF(A124="","",IF(TRIM(IF(W124="","Treatment not chosen. ","")&amp;IF(AND(W124="Accept",AX124="No"),"Accepted outside appetite: record approval by "&amp;INDEX(Settings!$G$20:$G$23,MATCH(AW124,Settings!$A$20:$A$23,0))&amp;". ","")&amp;IF(AND(W124="Accept",BG124=""),"Acceptance expiry missing. ","")&amp;IF(AND(BG124&lt;&gt;"",BG124&lt;TODAY()),"Acceptance expired. ","")&amp;IF(AND(W124&lt;&gt;"",W124&lt;&gt;"Accept",AV124=""),"Target rating not set. ","")&amp;IF(AND(BE124="Closed",AX124="No"),"Closed while outside appetite. ","")&amp;IF(AND(W124="Transfer",BE124&lt;&gt;"Transferred",BE124&lt;&gt;"Closed"),"Transfer: record the contract, SLA and audit rights. ","")&amp;IF(AZ124="","Risk owner missing. ","")&amp;IF(K124="","Scenario not written. ",""))="","OK",TRIM(IF(W124="","Treatment not chosen. ","")&amp;IF(AND(W124="Accept",AX124="No"),"Accepted outside appetite: record approval by "&amp;INDEX(Settings!$G$20:$G$23,MATCH(AW124,Settings!$A$20:$A$23,0))&amp;". ","")&amp;IF(AND(W124="Accept",BG124=""),"Acceptance expiry missing. ","")&amp;IF(AND(BG124&lt;&gt;"",BG124&lt;TODAY()),"Acceptance expired. ","")&amp;IF(AND(W124&lt;&gt;"",W124&lt;&gt;"Accept",AV124=""),"Target rating not set. ","")&amp;IF(AND(BE124="Closed",AX124="No"),"Closed while outside appetite. ","")&amp;IF(AND(W124="Transfer",BE124&lt;&gt;"Transferred",BE124&lt;&gt;"Closed"),"Transfer: record the contract, SLA and audit rights. ","")&amp;IF(AZ124="","Risk owner missing. ","")&amp;IF(K124="","Scenario not written. ",""))))</f>
        <v/>
      </c>
      <c r="BM124" s="82" t="n"/>
    </row>
    <row r="125">
      <c r="A125" s="84" t="n"/>
      <c r="B125" s="83" t="n"/>
      <c r="C125" s="80" t="n"/>
      <c r="D125" s="81">
        <f>IF(C125="","",IFERROR(INDEX(Lists!$O$2:$O$13,MATCH(C125,Lists!$N$2:$N$13,0)),"Check domain code"))</f>
        <v/>
      </c>
      <c r="E125" s="81">
        <f>IF(C125="","",IFERROR(INDEX(Lists!$P$2:$P$13,MATCH(C125,Lists!$N$2:$N$13,0)),""))</f>
        <v/>
      </c>
      <c r="F125" s="80" t="n"/>
      <c r="G125" s="82" t="n"/>
      <c r="H125" s="82" t="n"/>
      <c r="I125" s="82" t="n"/>
      <c r="J125" s="83" t="n"/>
      <c r="K125" s="82" t="n"/>
      <c r="L125" s="82" t="n"/>
      <c r="M125" s="84" t="n"/>
      <c r="N125" s="21" t="n"/>
      <c r="O125" s="82" t="n"/>
      <c r="P125" s="85" t="n"/>
      <c r="Q125" s="85" t="n"/>
      <c r="R125" s="85" t="n"/>
      <c r="S125" s="21">
        <f>IF(OR(Q125="",R125=""),"",Q125*R125)</f>
        <v/>
      </c>
      <c r="T125" s="21">
        <f>IF(S125="","",INDEX(Settings!$A$20:$A$23,MATCH(S125,Settings!$B$20:$B$23,1)))</f>
        <v/>
      </c>
      <c r="U125" s="82" t="n"/>
      <c r="V125" s="86" t="n"/>
      <c r="W125" s="85" t="n"/>
      <c r="X125" s="82" t="n"/>
      <c r="Y125" s="87" t="n"/>
      <c r="Z125" s="87" t="n"/>
      <c r="AA125" s="87" t="n"/>
      <c r="AB125" s="87" t="n"/>
      <c r="AC125" s="87" t="n"/>
      <c r="AD125" s="87" t="n"/>
      <c r="AE125" s="87" t="n"/>
      <c r="AF125" s="87" t="n"/>
      <c r="AG125" s="87" t="n"/>
      <c r="AH125" s="87" t="n"/>
      <c r="AI125" s="87" t="n"/>
      <c r="AJ125" s="88" t="n"/>
      <c r="AK125" s="87" t="n"/>
      <c r="AL125" s="87" t="n"/>
      <c r="AM125" s="87" t="n"/>
      <c r="AN125" s="87" t="n"/>
      <c r="AO125" s="87" t="n"/>
      <c r="AP125" s="87" t="n"/>
      <c r="AQ125" s="88" t="n"/>
      <c r="AR125" s="88" t="n"/>
      <c r="AS125" s="85" t="n"/>
      <c r="AT125" s="85" t="n"/>
      <c r="AU125" s="21">
        <f>IF(OR(AS125="",AT125=""),"",AS125*AT125)</f>
        <v/>
      </c>
      <c r="AV125" s="21">
        <f>IF(AU125="","",INDEX(Settings!$A$20:$A$23,MATCH(AU125,Settings!$B$20:$B$23,1)))</f>
        <v/>
      </c>
      <c r="AW125" s="21">
        <f>IF(AV125&lt;&gt;"",AV125,T125)</f>
        <v/>
      </c>
      <c r="AX125" s="21">
        <f>IF(AW125="","",IF(MATCH(AW125,Settings!$A$20:$A$23,0)&lt;=MATCH(Settings!$C$28,Settings!$A$20:$A$23,0),"Yes","No"))</f>
        <v/>
      </c>
      <c r="AY125" s="81">
        <f>IF(AW125="","",IF(AX125="Yes",INDEX(Settings!$G$20:$G$23,MATCH(AW125,Settings!$A$20:$A$23,0)),INDEX(Settings!$G$20:$G$23,MATCH(AW125,Settings!$A$20:$A$23,0))&amp;" (outside appetite)"))</f>
        <v/>
      </c>
      <c r="AZ125" s="82" t="n"/>
      <c r="BA125" s="82" t="n"/>
      <c r="BB125" s="89" t="n"/>
      <c r="BC125" s="90">
        <f>IF(OR(BB125="",T125=""),"",BB125+INDEX(Settings!$E$20:$E$23,MATCH(T125,Settings!$A$20:$A$23,0)))</f>
        <v/>
      </c>
      <c r="BD125" s="89" t="n"/>
      <c r="BE125" s="82" t="n"/>
      <c r="BF125" s="81">
        <f>IF(A125="","",IF(OR(BE125="Closed",BE125="Accepted"),"No action",IF(BB125="","Set date identified",IF(TODAY()&gt;BC125,"Deadline exceeded",IF(BC125-TODAY()&lt;=Settings!$C$30,"Deadline approaching","On track")))))</f>
        <v/>
      </c>
      <c r="BG125" s="89" t="n"/>
      <c r="BH125" s="89" t="n"/>
      <c r="BI125" s="90">
        <f>IF(OR(BH125="",AW125=""),"",EDATE(BH125,INDEX(Settings!$F$20:$F$23,MATCH(AW125,Settings!$A$20:$A$23,0))))</f>
        <v/>
      </c>
      <c r="BJ125" s="21">
        <f>IF(T125="","",IF(MAX(IF(T125="",0,MATCH(T125,Settings!$A$20:$A$23,0)),IF(AV125="",0,MATCH(AV125,Settings!$A$20:$A$23,0)))&gt;=MATCH(Settings!$C$29,Settings!$A$20:$A$23,0),"Yes","No"))</f>
        <v/>
      </c>
      <c r="BK125" s="82" t="n"/>
      <c r="BL125" s="81">
        <f>IF(A125="","",IF(TRIM(IF(W125="","Treatment not chosen. ","")&amp;IF(AND(W125="Accept",AX125="No"),"Accepted outside appetite: record approval by "&amp;INDEX(Settings!$G$20:$G$23,MATCH(AW125,Settings!$A$20:$A$23,0))&amp;". ","")&amp;IF(AND(W125="Accept",BG125=""),"Acceptance expiry missing. ","")&amp;IF(AND(BG125&lt;&gt;"",BG125&lt;TODAY()),"Acceptance expired. ","")&amp;IF(AND(W125&lt;&gt;"",W125&lt;&gt;"Accept",AV125=""),"Target rating not set. ","")&amp;IF(AND(BE125="Closed",AX125="No"),"Closed while outside appetite. ","")&amp;IF(AND(W125="Transfer",BE125&lt;&gt;"Transferred",BE125&lt;&gt;"Closed"),"Transfer: record the contract, SLA and audit rights. ","")&amp;IF(AZ125="","Risk owner missing. ","")&amp;IF(K125="","Scenario not written. ",""))="","OK",TRIM(IF(W125="","Treatment not chosen. ","")&amp;IF(AND(W125="Accept",AX125="No"),"Accepted outside appetite: record approval by "&amp;INDEX(Settings!$G$20:$G$23,MATCH(AW125,Settings!$A$20:$A$23,0))&amp;". ","")&amp;IF(AND(W125="Accept",BG125=""),"Acceptance expiry missing. ","")&amp;IF(AND(BG125&lt;&gt;"",BG125&lt;TODAY()),"Acceptance expired. ","")&amp;IF(AND(W125&lt;&gt;"",W125&lt;&gt;"Accept",AV125=""),"Target rating not set. ","")&amp;IF(AND(BE125="Closed",AX125="No"),"Closed while outside appetite. ","")&amp;IF(AND(W125="Transfer",BE125&lt;&gt;"Transferred",BE125&lt;&gt;"Closed"),"Transfer: record the contract, SLA and audit rights. ","")&amp;IF(AZ125="","Risk owner missing. ","")&amp;IF(K125="","Scenario not written. ",""))))</f>
        <v/>
      </c>
      <c r="BM125" s="82" t="n"/>
    </row>
    <row r="126">
      <c r="A126" s="94" t="n"/>
      <c r="B126" s="93" t="n"/>
      <c r="C126" s="80" t="n"/>
      <c r="D126" s="81">
        <f>IF(C126="","",IFERROR(INDEX(Lists!$O$2:$O$13,MATCH(C126,Lists!$N$2:$N$13,0)),"Check domain code"))</f>
        <v/>
      </c>
      <c r="E126" s="81">
        <f>IF(C126="","",IFERROR(INDEX(Lists!$P$2:$P$13,MATCH(C126,Lists!$N$2:$N$13,0)),""))</f>
        <v/>
      </c>
      <c r="F126" s="80" t="n"/>
      <c r="G126" s="82" t="n"/>
      <c r="H126" s="82" t="n"/>
      <c r="I126" s="82" t="n"/>
      <c r="J126" s="93" t="n"/>
      <c r="K126" s="82" t="n"/>
      <c r="L126" s="82" t="n"/>
      <c r="M126" s="94" t="n"/>
      <c r="N126" s="21" t="n"/>
      <c r="O126" s="82" t="n"/>
      <c r="P126" s="85" t="n"/>
      <c r="Q126" s="85" t="n"/>
      <c r="R126" s="85" t="n"/>
      <c r="S126" s="21">
        <f>IF(OR(Q126="",R126=""),"",Q126*R126)</f>
        <v/>
      </c>
      <c r="T126" s="21">
        <f>IF(S126="","",INDEX(Settings!$A$20:$A$23,MATCH(S126,Settings!$B$20:$B$23,1)))</f>
        <v/>
      </c>
      <c r="U126" s="82" t="n"/>
      <c r="V126" s="86" t="n"/>
      <c r="W126" s="85" t="n"/>
      <c r="X126" s="82" t="n"/>
      <c r="Y126" s="95" t="n"/>
      <c r="Z126" s="95" t="n"/>
      <c r="AA126" s="95" t="n"/>
      <c r="AB126" s="95" t="n"/>
      <c r="AC126" s="95" t="n"/>
      <c r="AD126" s="95" t="n"/>
      <c r="AE126" s="95" t="n"/>
      <c r="AF126" s="95" t="n"/>
      <c r="AG126" s="95" t="n"/>
      <c r="AH126" s="95" t="n"/>
      <c r="AI126" s="95" t="n"/>
      <c r="AJ126" s="96" t="n"/>
      <c r="AK126" s="95" t="n"/>
      <c r="AL126" s="95" t="n"/>
      <c r="AM126" s="95" t="n"/>
      <c r="AN126" s="95" t="n"/>
      <c r="AO126" s="95" t="n"/>
      <c r="AP126" s="95" t="n"/>
      <c r="AQ126" s="96" t="n"/>
      <c r="AR126" s="96" t="n"/>
      <c r="AS126" s="85" t="n"/>
      <c r="AT126" s="85" t="n"/>
      <c r="AU126" s="21">
        <f>IF(OR(AS126="",AT126=""),"",AS126*AT126)</f>
        <v/>
      </c>
      <c r="AV126" s="21">
        <f>IF(AU126="","",INDEX(Settings!$A$20:$A$23,MATCH(AU126,Settings!$B$20:$B$23,1)))</f>
        <v/>
      </c>
      <c r="AW126" s="21">
        <f>IF(AV126&lt;&gt;"",AV126,T126)</f>
        <v/>
      </c>
      <c r="AX126" s="21">
        <f>IF(AW126="","",IF(MATCH(AW126,Settings!$A$20:$A$23,0)&lt;=MATCH(Settings!$C$28,Settings!$A$20:$A$23,0),"Yes","No"))</f>
        <v/>
      </c>
      <c r="AY126" s="81">
        <f>IF(AW126="","",IF(AX126="Yes",INDEX(Settings!$G$20:$G$23,MATCH(AW126,Settings!$A$20:$A$23,0)),INDEX(Settings!$G$20:$G$23,MATCH(AW126,Settings!$A$20:$A$23,0))&amp;" (outside appetite)"))</f>
        <v/>
      </c>
      <c r="AZ126" s="82" t="n"/>
      <c r="BA126" s="82" t="n"/>
      <c r="BB126" s="89" t="n"/>
      <c r="BC126" s="90">
        <f>IF(OR(BB126="",T126=""),"",BB126+INDEX(Settings!$E$20:$E$23,MATCH(T126,Settings!$A$20:$A$23,0)))</f>
        <v/>
      </c>
      <c r="BD126" s="89" t="n"/>
      <c r="BE126" s="82" t="n"/>
      <c r="BF126" s="81">
        <f>IF(A126="","",IF(OR(BE126="Closed",BE126="Accepted"),"No action",IF(BB126="","Set date identified",IF(TODAY()&gt;BC126,"Deadline exceeded",IF(BC126-TODAY()&lt;=Settings!$C$30,"Deadline approaching","On track")))))</f>
        <v/>
      </c>
      <c r="BG126" s="89" t="n"/>
      <c r="BH126" s="89" t="n"/>
      <c r="BI126" s="90">
        <f>IF(OR(BH126="",AW126=""),"",EDATE(BH126,INDEX(Settings!$F$20:$F$23,MATCH(AW126,Settings!$A$20:$A$23,0))))</f>
        <v/>
      </c>
      <c r="BJ126" s="21">
        <f>IF(T126="","",IF(MAX(IF(T126="",0,MATCH(T126,Settings!$A$20:$A$23,0)),IF(AV126="",0,MATCH(AV126,Settings!$A$20:$A$23,0)))&gt;=MATCH(Settings!$C$29,Settings!$A$20:$A$23,0),"Yes","No"))</f>
        <v/>
      </c>
      <c r="BK126" s="82" t="n"/>
      <c r="BL126" s="81">
        <f>IF(A126="","",IF(TRIM(IF(W126="","Treatment not chosen. ","")&amp;IF(AND(W126="Accept",AX126="No"),"Accepted outside appetite: record approval by "&amp;INDEX(Settings!$G$20:$G$23,MATCH(AW126,Settings!$A$20:$A$23,0))&amp;". ","")&amp;IF(AND(W126="Accept",BG126=""),"Acceptance expiry missing. ","")&amp;IF(AND(BG126&lt;&gt;"",BG126&lt;TODAY()),"Acceptance expired. ","")&amp;IF(AND(W126&lt;&gt;"",W126&lt;&gt;"Accept",AV126=""),"Target rating not set. ","")&amp;IF(AND(BE126="Closed",AX126="No"),"Closed while outside appetite. ","")&amp;IF(AND(W126="Transfer",BE126&lt;&gt;"Transferred",BE126&lt;&gt;"Closed"),"Transfer: record the contract, SLA and audit rights. ","")&amp;IF(AZ126="","Risk owner missing. ","")&amp;IF(K126="","Scenario not written. ",""))="","OK",TRIM(IF(W126="","Treatment not chosen. ","")&amp;IF(AND(W126="Accept",AX126="No"),"Accepted outside appetite: record approval by "&amp;INDEX(Settings!$G$20:$G$23,MATCH(AW126,Settings!$A$20:$A$23,0))&amp;". ","")&amp;IF(AND(W126="Accept",BG126=""),"Acceptance expiry missing. ","")&amp;IF(AND(BG126&lt;&gt;"",BG126&lt;TODAY()),"Acceptance expired. ","")&amp;IF(AND(W126&lt;&gt;"",W126&lt;&gt;"Accept",AV126=""),"Target rating not set. ","")&amp;IF(AND(BE126="Closed",AX126="No"),"Closed while outside appetite. ","")&amp;IF(AND(W126="Transfer",BE126&lt;&gt;"Transferred",BE126&lt;&gt;"Closed"),"Transfer: record the contract, SLA and audit rights. ","")&amp;IF(AZ126="","Risk owner missing. ","")&amp;IF(K126="","Scenario not written. ",""))))</f>
        <v/>
      </c>
      <c r="BM126" s="82" t="n"/>
    </row>
    <row r="127">
      <c r="A127" s="84" t="n"/>
      <c r="B127" s="83" t="n"/>
      <c r="C127" s="80" t="n"/>
      <c r="D127" s="81">
        <f>IF(C127="","",IFERROR(INDEX(Lists!$O$2:$O$13,MATCH(C127,Lists!$N$2:$N$13,0)),"Check domain code"))</f>
        <v/>
      </c>
      <c r="E127" s="81">
        <f>IF(C127="","",IFERROR(INDEX(Lists!$P$2:$P$13,MATCH(C127,Lists!$N$2:$N$13,0)),""))</f>
        <v/>
      </c>
      <c r="F127" s="80" t="n"/>
      <c r="G127" s="82" t="n"/>
      <c r="H127" s="82" t="n"/>
      <c r="I127" s="82" t="n"/>
      <c r="J127" s="83" t="n"/>
      <c r="K127" s="82" t="n"/>
      <c r="L127" s="82" t="n"/>
      <c r="M127" s="84" t="n"/>
      <c r="N127" s="21" t="n"/>
      <c r="O127" s="82" t="n"/>
      <c r="P127" s="85" t="n"/>
      <c r="Q127" s="85" t="n"/>
      <c r="R127" s="85" t="n"/>
      <c r="S127" s="21">
        <f>IF(OR(Q127="",R127=""),"",Q127*R127)</f>
        <v/>
      </c>
      <c r="T127" s="21">
        <f>IF(S127="","",INDEX(Settings!$A$20:$A$23,MATCH(S127,Settings!$B$20:$B$23,1)))</f>
        <v/>
      </c>
      <c r="U127" s="82" t="n"/>
      <c r="V127" s="86" t="n"/>
      <c r="W127" s="85" t="n"/>
      <c r="X127" s="82" t="n"/>
      <c r="Y127" s="87" t="n"/>
      <c r="Z127" s="87" t="n"/>
      <c r="AA127" s="87" t="n"/>
      <c r="AB127" s="87" t="n"/>
      <c r="AC127" s="87" t="n"/>
      <c r="AD127" s="87" t="n"/>
      <c r="AE127" s="87" t="n"/>
      <c r="AF127" s="87" t="n"/>
      <c r="AG127" s="87" t="n"/>
      <c r="AH127" s="87" t="n"/>
      <c r="AI127" s="87" t="n"/>
      <c r="AJ127" s="88" t="n"/>
      <c r="AK127" s="87" t="n"/>
      <c r="AL127" s="87" t="n"/>
      <c r="AM127" s="87" t="n"/>
      <c r="AN127" s="87" t="n"/>
      <c r="AO127" s="87" t="n"/>
      <c r="AP127" s="87" t="n"/>
      <c r="AQ127" s="88" t="n"/>
      <c r="AR127" s="88" t="n"/>
      <c r="AS127" s="85" t="n"/>
      <c r="AT127" s="85" t="n"/>
      <c r="AU127" s="21">
        <f>IF(OR(AS127="",AT127=""),"",AS127*AT127)</f>
        <v/>
      </c>
      <c r="AV127" s="21">
        <f>IF(AU127="","",INDEX(Settings!$A$20:$A$23,MATCH(AU127,Settings!$B$20:$B$23,1)))</f>
        <v/>
      </c>
      <c r="AW127" s="21">
        <f>IF(AV127&lt;&gt;"",AV127,T127)</f>
        <v/>
      </c>
      <c r="AX127" s="21">
        <f>IF(AW127="","",IF(MATCH(AW127,Settings!$A$20:$A$23,0)&lt;=MATCH(Settings!$C$28,Settings!$A$20:$A$23,0),"Yes","No"))</f>
        <v/>
      </c>
      <c r="AY127" s="81">
        <f>IF(AW127="","",IF(AX127="Yes",INDEX(Settings!$G$20:$G$23,MATCH(AW127,Settings!$A$20:$A$23,0)),INDEX(Settings!$G$20:$G$23,MATCH(AW127,Settings!$A$20:$A$23,0))&amp;" (outside appetite)"))</f>
        <v/>
      </c>
      <c r="AZ127" s="82" t="n"/>
      <c r="BA127" s="82" t="n"/>
      <c r="BB127" s="89" t="n"/>
      <c r="BC127" s="90">
        <f>IF(OR(BB127="",T127=""),"",BB127+INDEX(Settings!$E$20:$E$23,MATCH(T127,Settings!$A$20:$A$23,0)))</f>
        <v/>
      </c>
      <c r="BD127" s="89" t="n"/>
      <c r="BE127" s="82" t="n"/>
      <c r="BF127" s="81">
        <f>IF(A127="","",IF(OR(BE127="Closed",BE127="Accepted"),"No action",IF(BB127="","Set date identified",IF(TODAY()&gt;BC127,"Deadline exceeded",IF(BC127-TODAY()&lt;=Settings!$C$30,"Deadline approaching","On track")))))</f>
        <v/>
      </c>
      <c r="BG127" s="89" t="n"/>
      <c r="BH127" s="89" t="n"/>
      <c r="BI127" s="90">
        <f>IF(OR(BH127="",AW127=""),"",EDATE(BH127,INDEX(Settings!$F$20:$F$23,MATCH(AW127,Settings!$A$20:$A$23,0))))</f>
        <v/>
      </c>
      <c r="BJ127" s="21">
        <f>IF(T127="","",IF(MAX(IF(T127="",0,MATCH(T127,Settings!$A$20:$A$23,0)),IF(AV127="",0,MATCH(AV127,Settings!$A$20:$A$23,0)))&gt;=MATCH(Settings!$C$29,Settings!$A$20:$A$23,0),"Yes","No"))</f>
        <v/>
      </c>
      <c r="BK127" s="82" t="n"/>
      <c r="BL127" s="81">
        <f>IF(A127="","",IF(TRIM(IF(W127="","Treatment not chosen. ","")&amp;IF(AND(W127="Accept",AX127="No"),"Accepted outside appetite: record approval by "&amp;INDEX(Settings!$G$20:$G$23,MATCH(AW127,Settings!$A$20:$A$23,0))&amp;". ","")&amp;IF(AND(W127="Accept",BG127=""),"Acceptance expiry missing. ","")&amp;IF(AND(BG127&lt;&gt;"",BG127&lt;TODAY()),"Acceptance expired. ","")&amp;IF(AND(W127&lt;&gt;"",W127&lt;&gt;"Accept",AV127=""),"Target rating not set. ","")&amp;IF(AND(BE127="Closed",AX127="No"),"Closed while outside appetite. ","")&amp;IF(AND(W127="Transfer",BE127&lt;&gt;"Transferred",BE127&lt;&gt;"Closed"),"Transfer: record the contract, SLA and audit rights. ","")&amp;IF(AZ127="","Risk owner missing. ","")&amp;IF(K127="","Scenario not written. ",""))="","OK",TRIM(IF(W127="","Treatment not chosen. ","")&amp;IF(AND(W127="Accept",AX127="No"),"Accepted outside appetite: record approval by "&amp;INDEX(Settings!$G$20:$G$23,MATCH(AW127,Settings!$A$20:$A$23,0))&amp;". ","")&amp;IF(AND(W127="Accept",BG127=""),"Acceptance expiry missing. ","")&amp;IF(AND(BG127&lt;&gt;"",BG127&lt;TODAY()),"Acceptance expired. ","")&amp;IF(AND(W127&lt;&gt;"",W127&lt;&gt;"Accept",AV127=""),"Target rating not set. ","")&amp;IF(AND(BE127="Closed",AX127="No"),"Closed while outside appetite. ","")&amp;IF(AND(W127="Transfer",BE127&lt;&gt;"Transferred",BE127&lt;&gt;"Closed"),"Transfer: record the contract, SLA and audit rights. ","")&amp;IF(AZ127="","Risk owner missing. ","")&amp;IF(K127="","Scenario not written. ",""))))</f>
        <v/>
      </c>
      <c r="BM127" s="82" t="n"/>
    </row>
    <row r="128">
      <c r="A128" s="94" t="n"/>
      <c r="B128" s="93" t="n"/>
      <c r="C128" s="80" t="n"/>
      <c r="D128" s="81">
        <f>IF(C128="","",IFERROR(INDEX(Lists!$O$2:$O$13,MATCH(C128,Lists!$N$2:$N$13,0)),"Check domain code"))</f>
        <v/>
      </c>
      <c r="E128" s="81">
        <f>IF(C128="","",IFERROR(INDEX(Lists!$P$2:$P$13,MATCH(C128,Lists!$N$2:$N$13,0)),""))</f>
        <v/>
      </c>
      <c r="F128" s="80" t="n"/>
      <c r="G128" s="82" t="n"/>
      <c r="H128" s="82" t="n"/>
      <c r="I128" s="82" t="n"/>
      <c r="J128" s="93" t="n"/>
      <c r="K128" s="82" t="n"/>
      <c r="L128" s="82" t="n"/>
      <c r="M128" s="94" t="n"/>
      <c r="N128" s="21" t="n"/>
      <c r="O128" s="82" t="n"/>
      <c r="P128" s="85" t="n"/>
      <c r="Q128" s="85" t="n"/>
      <c r="R128" s="85" t="n"/>
      <c r="S128" s="21">
        <f>IF(OR(Q128="",R128=""),"",Q128*R128)</f>
        <v/>
      </c>
      <c r="T128" s="21">
        <f>IF(S128="","",INDEX(Settings!$A$20:$A$23,MATCH(S128,Settings!$B$20:$B$23,1)))</f>
        <v/>
      </c>
      <c r="U128" s="82" t="n"/>
      <c r="V128" s="86" t="n"/>
      <c r="W128" s="85" t="n"/>
      <c r="X128" s="82" t="n"/>
      <c r="Y128" s="95" t="n"/>
      <c r="Z128" s="95" t="n"/>
      <c r="AA128" s="95" t="n"/>
      <c r="AB128" s="95" t="n"/>
      <c r="AC128" s="95" t="n"/>
      <c r="AD128" s="95" t="n"/>
      <c r="AE128" s="95" t="n"/>
      <c r="AF128" s="95" t="n"/>
      <c r="AG128" s="95" t="n"/>
      <c r="AH128" s="95" t="n"/>
      <c r="AI128" s="95" t="n"/>
      <c r="AJ128" s="96" t="n"/>
      <c r="AK128" s="95" t="n"/>
      <c r="AL128" s="95" t="n"/>
      <c r="AM128" s="95" t="n"/>
      <c r="AN128" s="95" t="n"/>
      <c r="AO128" s="95" t="n"/>
      <c r="AP128" s="95" t="n"/>
      <c r="AQ128" s="96" t="n"/>
      <c r="AR128" s="96" t="n"/>
      <c r="AS128" s="85" t="n"/>
      <c r="AT128" s="85" t="n"/>
      <c r="AU128" s="21">
        <f>IF(OR(AS128="",AT128=""),"",AS128*AT128)</f>
        <v/>
      </c>
      <c r="AV128" s="21">
        <f>IF(AU128="","",INDEX(Settings!$A$20:$A$23,MATCH(AU128,Settings!$B$20:$B$23,1)))</f>
        <v/>
      </c>
      <c r="AW128" s="21">
        <f>IF(AV128&lt;&gt;"",AV128,T128)</f>
        <v/>
      </c>
      <c r="AX128" s="21">
        <f>IF(AW128="","",IF(MATCH(AW128,Settings!$A$20:$A$23,0)&lt;=MATCH(Settings!$C$28,Settings!$A$20:$A$23,0),"Yes","No"))</f>
        <v/>
      </c>
      <c r="AY128" s="81">
        <f>IF(AW128="","",IF(AX128="Yes",INDEX(Settings!$G$20:$G$23,MATCH(AW128,Settings!$A$20:$A$23,0)),INDEX(Settings!$G$20:$G$23,MATCH(AW128,Settings!$A$20:$A$23,0))&amp;" (outside appetite)"))</f>
        <v/>
      </c>
      <c r="AZ128" s="82" t="n"/>
      <c r="BA128" s="82" t="n"/>
      <c r="BB128" s="89" t="n"/>
      <c r="BC128" s="90">
        <f>IF(OR(BB128="",T128=""),"",BB128+INDEX(Settings!$E$20:$E$23,MATCH(T128,Settings!$A$20:$A$23,0)))</f>
        <v/>
      </c>
      <c r="BD128" s="89" t="n"/>
      <c r="BE128" s="82" t="n"/>
      <c r="BF128" s="81">
        <f>IF(A128="","",IF(OR(BE128="Closed",BE128="Accepted"),"No action",IF(BB128="","Set date identified",IF(TODAY()&gt;BC128,"Deadline exceeded",IF(BC128-TODAY()&lt;=Settings!$C$30,"Deadline approaching","On track")))))</f>
        <v/>
      </c>
      <c r="BG128" s="89" t="n"/>
      <c r="BH128" s="89" t="n"/>
      <c r="BI128" s="90">
        <f>IF(OR(BH128="",AW128=""),"",EDATE(BH128,INDEX(Settings!$F$20:$F$23,MATCH(AW128,Settings!$A$20:$A$23,0))))</f>
        <v/>
      </c>
      <c r="BJ128" s="21">
        <f>IF(T128="","",IF(MAX(IF(T128="",0,MATCH(T128,Settings!$A$20:$A$23,0)),IF(AV128="",0,MATCH(AV128,Settings!$A$20:$A$23,0)))&gt;=MATCH(Settings!$C$29,Settings!$A$20:$A$23,0),"Yes","No"))</f>
        <v/>
      </c>
      <c r="BK128" s="82" t="n"/>
      <c r="BL128" s="81">
        <f>IF(A128="","",IF(TRIM(IF(W128="","Treatment not chosen. ","")&amp;IF(AND(W128="Accept",AX128="No"),"Accepted outside appetite: record approval by "&amp;INDEX(Settings!$G$20:$G$23,MATCH(AW128,Settings!$A$20:$A$23,0))&amp;". ","")&amp;IF(AND(W128="Accept",BG128=""),"Acceptance expiry missing. ","")&amp;IF(AND(BG128&lt;&gt;"",BG128&lt;TODAY()),"Acceptance expired. ","")&amp;IF(AND(W128&lt;&gt;"",W128&lt;&gt;"Accept",AV128=""),"Target rating not set. ","")&amp;IF(AND(BE128="Closed",AX128="No"),"Closed while outside appetite. ","")&amp;IF(AND(W128="Transfer",BE128&lt;&gt;"Transferred",BE128&lt;&gt;"Closed"),"Transfer: record the contract, SLA and audit rights. ","")&amp;IF(AZ128="","Risk owner missing. ","")&amp;IF(K128="","Scenario not written. ",""))="","OK",TRIM(IF(W128="","Treatment not chosen. ","")&amp;IF(AND(W128="Accept",AX128="No"),"Accepted outside appetite: record approval by "&amp;INDEX(Settings!$G$20:$G$23,MATCH(AW128,Settings!$A$20:$A$23,0))&amp;". ","")&amp;IF(AND(W128="Accept",BG128=""),"Acceptance expiry missing. ","")&amp;IF(AND(BG128&lt;&gt;"",BG128&lt;TODAY()),"Acceptance expired. ","")&amp;IF(AND(W128&lt;&gt;"",W128&lt;&gt;"Accept",AV128=""),"Target rating not set. ","")&amp;IF(AND(BE128="Closed",AX128="No"),"Closed while outside appetite. ","")&amp;IF(AND(W128="Transfer",BE128&lt;&gt;"Transferred",BE128&lt;&gt;"Closed"),"Transfer: record the contract, SLA and audit rights. ","")&amp;IF(AZ128="","Risk owner missing. ","")&amp;IF(K128="","Scenario not written. ",""))))</f>
        <v/>
      </c>
      <c r="BM128" s="82" t="n"/>
    </row>
    <row r="129">
      <c r="A129" s="84" t="n"/>
      <c r="B129" s="83" t="n"/>
      <c r="C129" s="80" t="n"/>
      <c r="D129" s="81">
        <f>IF(C129="","",IFERROR(INDEX(Lists!$O$2:$O$13,MATCH(C129,Lists!$N$2:$N$13,0)),"Check domain code"))</f>
        <v/>
      </c>
      <c r="E129" s="81">
        <f>IF(C129="","",IFERROR(INDEX(Lists!$P$2:$P$13,MATCH(C129,Lists!$N$2:$N$13,0)),""))</f>
        <v/>
      </c>
      <c r="F129" s="80" t="n"/>
      <c r="G129" s="82" t="n"/>
      <c r="H129" s="82" t="n"/>
      <c r="I129" s="82" t="n"/>
      <c r="J129" s="83" t="n"/>
      <c r="K129" s="82" t="n"/>
      <c r="L129" s="82" t="n"/>
      <c r="M129" s="84" t="n"/>
      <c r="N129" s="21" t="n"/>
      <c r="O129" s="82" t="n"/>
      <c r="P129" s="85" t="n"/>
      <c r="Q129" s="85" t="n"/>
      <c r="R129" s="85" t="n"/>
      <c r="S129" s="21">
        <f>IF(OR(Q129="",R129=""),"",Q129*R129)</f>
        <v/>
      </c>
      <c r="T129" s="21">
        <f>IF(S129="","",INDEX(Settings!$A$20:$A$23,MATCH(S129,Settings!$B$20:$B$23,1)))</f>
        <v/>
      </c>
      <c r="U129" s="82" t="n"/>
      <c r="V129" s="86" t="n"/>
      <c r="W129" s="85" t="n"/>
      <c r="X129" s="82" t="n"/>
      <c r="Y129" s="87" t="n"/>
      <c r="Z129" s="87" t="n"/>
      <c r="AA129" s="87" t="n"/>
      <c r="AB129" s="87" t="n"/>
      <c r="AC129" s="87" t="n"/>
      <c r="AD129" s="87" t="n"/>
      <c r="AE129" s="87" t="n"/>
      <c r="AF129" s="87" t="n"/>
      <c r="AG129" s="87" t="n"/>
      <c r="AH129" s="87" t="n"/>
      <c r="AI129" s="87" t="n"/>
      <c r="AJ129" s="88" t="n"/>
      <c r="AK129" s="87" t="n"/>
      <c r="AL129" s="87" t="n"/>
      <c r="AM129" s="87" t="n"/>
      <c r="AN129" s="87" t="n"/>
      <c r="AO129" s="87" t="n"/>
      <c r="AP129" s="87" t="n"/>
      <c r="AQ129" s="88" t="n"/>
      <c r="AR129" s="88" t="n"/>
      <c r="AS129" s="85" t="n"/>
      <c r="AT129" s="85" t="n"/>
      <c r="AU129" s="21">
        <f>IF(OR(AS129="",AT129=""),"",AS129*AT129)</f>
        <v/>
      </c>
      <c r="AV129" s="21">
        <f>IF(AU129="","",INDEX(Settings!$A$20:$A$23,MATCH(AU129,Settings!$B$20:$B$23,1)))</f>
        <v/>
      </c>
      <c r="AW129" s="21">
        <f>IF(AV129&lt;&gt;"",AV129,T129)</f>
        <v/>
      </c>
      <c r="AX129" s="21">
        <f>IF(AW129="","",IF(MATCH(AW129,Settings!$A$20:$A$23,0)&lt;=MATCH(Settings!$C$28,Settings!$A$20:$A$23,0),"Yes","No"))</f>
        <v/>
      </c>
      <c r="AY129" s="81">
        <f>IF(AW129="","",IF(AX129="Yes",INDEX(Settings!$G$20:$G$23,MATCH(AW129,Settings!$A$20:$A$23,0)),INDEX(Settings!$G$20:$G$23,MATCH(AW129,Settings!$A$20:$A$23,0))&amp;" (outside appetite)"))</f>
        <v/>
      </c>
      <c r="AZ129" s="82" t="n"/>
      <c r="BA129" s="82" t="n"/>
      <c r="BB129" s="89" t="n"/>
      <c r="BC129" s="90">
        <f>IF(OR(BB129="",T129=""),"",BB129+INDEX(Settings!$E$20:$E$23,MATCH(T129,Settings!$A$20:$A$23,0)))</f>
        <v/>
      </c>
      <c r="BD129" s="89" t="n"/>
      <c r="BE129" s="82" t="n"/>
      <c r="BF129" s="81">
        <f>IF(A129="","",IF(OR(BE129="Closed",BE129="Accepted"),"No action",IF(BB129="","Set date identified",IF(TODAY()&gt;BC129,"Deadline exceeded",IF(BC129-TODAY()&lt;=Settings!$C$30,"Deadline approaching","On track")))))</f>
        <v/>
      </c>
      <c r="BG129" s="89" t="n"/>
      <c r="BH129" s="89" t="n"/>
      <c r="BI129" s="90">
        <f>IF(OR(BH129="",AW129=""),"",EDATE(BH129,INDEX(Settings!$F$20:$F$23,MATCH(AW129,Settings!$A$20:$A$23,0))))</f>
        <v/>
      </c>
      <c r="BJ129" s="21">
        <f>IF(T129="","",IF(MAX(IF(T129="",0,MATCH(T129,Settings!$A$20:$A$23,0)),IF(AV129="",0,MATCH(AV129,Settings!$A$20:$A$23,0)))&gt;=MATCH(Settings!$C$29,Settings!$A$20:$A$23,0),"Yes","No"))</f>
        <v/>
      </c>
      <c r="BK129" s="82" t="n"/>
      <c r="BL129" s="81">
        <f>IF(A129="","",IF(TRIM(IF(W129="","Treatment not chosen. ","")&amp;IF(AND(W129="Accept",AX129="No"),"Accepted outside appetite: record approval by "&amp;INDEX(Settings!$G$20:$G$23,MATCH(AW129,Settings!$A$20:$A$23,0))&amp;". ","")&amp;IF(AND(W129="Accept",BG129=""),"Acceptance expiry missing. ","")&amp;IF(AND(BG129&lt;&gt;"",BG129&lt;TODAY()),"Acceptance expired. ","")&amp;IF(AND(W129&lt;&gt;"",W129&lt;&gt;"Accept",AV129=""),"Target rating not set. ","")&amp;IF(AND(BE129="Closed",AX129="No"),"Closed while outside appetite. ","")&amp;IF(AND(W129="Transfer",BE129&lt;&gt;"Transferred",BE129&lt;&gt;"Closed"),"Transfer: record the contract, SLA and audit rights. ","")&amp;IF(AZ129="","Risk owner missing. ","")&amp;IF(K129="","Scenario not written. ",""))="","OK",TRIM(IF(W129="","Treatment not chosen. ","")&amp;IF(AND(W129="Accept",AX129="No"),"Accepted outside appetite: record approval by "&amp;INDEX(Settings!$G$20:$G$23,MATCH(AW129,Settings!$A$20:$A$23,0))&amp;". ","")&amp;IF(AND(W129="Accept",BG129=""),"Acceptance expiry missing. ","")&amp;IF(AND(BG129&lt;&gt;"",BG129&lt;TODAY()),"Acceptance expired. ","")&amp;IF(AND(W129&lt;&gt;"",W129&lt;&gt;"Accept",AV129=""),"Target rating not set. ","")&amp;IF(AND(BE129="Closed",AX129="No"),"Closed while outside appetite. ","")&amp;IF(AND(W129="Transfer",BE129&lt;&gt;"Transferred",BE129&lt;&gt;"Closed"),"Transfer: record the contract, SLA and audit rights. ","")&amp;IF(AZ129="","Risk owner missing. ","")&amp;IF(K129="","Scenario not written. ",""))))</f>
        <v/>
      </c>
      <c r="BM129" s="82" t="n"/>
    </row>
    <row r="130">
      <c r="A130" s="94" t="n"/>
      <c r="B130" s="93" t="n"/>
      <c r="C130" s="80" t="n"/>
      <c r="D130" s="81">
        <f>IF(C130="","",IFERROR(INDEX(Lists!$O$2:$O$13,MATCH(C130,Lists!$N$2:$N$13,0)),"Check domain code"))</f>
        <v/>
      </c>
      <c r="E130" s="81">
        <f>IF(C130="","",IFERROR(INDEX(Lists!$P$2:$P$13,MATCH(C130,Lists!$N$2:$N$13,0)),""))</f>
        <v/>
      </c>
      <c r="F130" s="80" t="n"/>
      <c r="G130" s="82" t="n"/>
      <c r="H130" s="82" t="n"/>
      <c r="I130" s="82" t="n"/>
      <c r="J130" s="93" t="n"/>
      <c r="K130" s="82" t="n"/>
      <c r="L130" s="82" t="n"/>
      <c r="M130" s="94" t="n"/>
      <c r="N130" s="21" t="n"/>
      <c r="O130" s="82" t="n"/>
      <c r="P130" s="85" t="n"/>
      <c r="Q130" s="85" t="n"/>
      <c r="R130" s="85" t="n"/>
      <c r="S130" s="21">
        <f>IF(OR(Q130="",R130=""),"",Q130*R130)</f>
        <v/>
      </c>
      <c r="T130" s="21">
        <f>IF(S130="","",INDEX(Settings!$A$20:$A$23,MATCH(S130,Settings!$B$20:$B$23,1)))</f>
        <v/>
      </c>
      <c r="U130" s="82" t="n"/>
      <c r="V130" s="86" t="n"/>
      <c r="W130" s="85" t="n"/>
      <c r="X130" s="82" t="n"/>
      <c r="Y130" s="95" t="n"/>
      <c r="Z130" s="95" t="n"/>
      <c r="AA130" s="95" t="n"/>
      <c r="AB130" s="95" t="n"/>
      <c r="AC130" s="95" t="n"/>
      <c r="AD130" s="95" t="n"/>
      <c r="AE130" s="95" t="n"/>
      <c r="AF130" s="95" t="n"/>
      <c r="AG130" s="95" t="n"/>
      <c r="AH130" s="95" t="n"/>
      <c r="AI130" s="95" t="n"/>
      <c r="AJ130" s="96" t="n"/>
      <c r="AK130" s="95" t="n"/>
      <c r="AL130" s="95" t="n"/>
      <c r="AM130" s="95" t="n"/>
      <c r="AN130" s="95" t="n"/>
      <c r="AO130" s="95" t="n"/>
      <c r="AP130" s="95" t="n"/>
      <c r="AQ130" s="96" t="n"/>
      <c r="AR130" s="96" t="n"/>
      <c r="AS130" s="85" t="n"/>
      <c r="AT130" s="85" t="n"/>
      <c r="AU130" s="21">
        <f>IF(OR(AS130="",AT130=""),"",AS130*AT130)</f>
        <v/>
      </c>
      <c r="AV130" s="21">
        <f>IF(AU130="","",INDEX(Settings!$A$20:$A$23,MATCH(AU130,Settings!$B$20:$B$23,1)))</f>
        <v/>
      </c>
      <c r="AW130" s="21">
        <f>IF(AV130&lt;&gt;"",AV130,T130)</f>
        <v/>
      </c>
      <c r="AX130" s="21">
        <f>IF(AW130="","",IF(MATCH(AW130,Settings!$A$20:$A$23,0)&lt;=MATCH(Settings!$C$28,Settings!$A$20:$A$23,0),"Yes","No"))</f>
        <v/>
      </c>
      <c r="AY130" s="81">
        <f>IF(AW130="","",IF(AX130="Yes",INDEX(Settings!$G$20:$G$23,MATCH(AW130,Settings!$A$20:$A$23,0)),INDEX(Settings!$G$20:$G$23,MATCH(AW130,Settings!$A$20:$A$23,0))&amp;" (outside appetite)"))</f>
        <v/>
      </c>
      <c r="AZ130" s="82" t="n"/>
      <c r="BA130" s="82" t="n"/>
      <c r="BB130" s="89" t="n"/>
      <c r="BC130" s="90">
        <f>IF(OR(BB130="",T130=""),"",BB130+INDEX(Settings!$E$20:$E$23,MATCH(T130,Settings!$A$20:$A$23,0)))</f>
        <v/>
      </c>
      <c r="BD130" s="89" t="n"/>
      <c r="BE130" s="82" t="n"/>
      <c r="BF130" s="81">
        <f>IF(A130="","",IF(OR(BE130="Closed",BE130="Accepted"),"No action",IF(BB130="","Set date identified",IF(TODAY()&gt;BC130,"Deadline exceeded",IF(BC130-TODAY()&lt;=Settings!$C$30,"Deadline approaching","On track")))))</f>
        <v/>
      </c>
      <c r="BG130" s="89" t="n"/>
      <c r="BH130" s="89" t="n"/>
      <c r="BI130" s="90">
        <f>IF(OR(BH130="",AW130=""),"",EDATE(BH130,INDEX(Settings!$F$20:$F$23,MATCH(AW130,Settings!$A$20:$A$23,0))))</f>
        <v/>
      </c>
      <c r="BJ130" s="21">
        <f>IF(T130="","",IF(MAX(IF(T130="",0,MATCH(T130,Settings!$A$20:$A$23,0)),IF(AV130="",0,MATCH(AV130,Settings!$A$20:$A$23,0)))&gt;=MATCH(Settings!$C$29,Settings!$A$20:$A$23,0),"Yes","No"))</f>
        <v/>
      </c>
      <c r="BK130" s="82" t="n"/>
      <c r="BL130" s="81">
        <f>IF(A130="","",IF(TRIM(IF(W130="","Treatment not chosen. ","")&amp;IF(AND(W130="Accept",AX130="No"),"Accepted outside appetite: record approval by "&amp;INDEX(Settings!$G$20:$G$23,MATCH(AW130,Settings!$A$20:$A$23,0))&amp;". ","")&amp;IF(AND(W130="Accept",BG130=""),"Acceptance expiry missing. ","")&amp;IF(AND(BG130&lt;&gt;"",BG130&lt;TODAY()),"Acceptance expired. ","")&amp;IF(AND(W130&lt;&gt;"",W130&lt;&gt;"Accept",AV130=""),"Target rating not set. ","")&amp;IF(AND(BE130="Closed",AX130="No"),"Closed while outside appetite. ","")&amp;IF(AND(W130="Transfer",BE130&lt;&gt;"Transferred",BE130&lt;&gt;"Closed"),"Transfer: record the contract, SLA and audit rights. ","")&amp;IF(AZ130="","Risk owner missing. ","")&amp;IF(K130="","Scenario not written. ",""))="","OK",TRIM(IF(W130="","Treatment not chosen. ","")&amp;IF(AND(W130="Accept",AX130="No"),"Accepted outside appetite: record approval by "&amp;INDEX(Settings!$G$20:$G$23,MATCH(AW130,Settings!$A$20:$A$23,0))&amp;". ","")&amp;IF(AND(W130="Accept",BG130=""),"Acceptance expiry missing. ","")&amp;IF(AND(BG130&lt;&gt;"",BG130&lt;TODAY()),"Acceptance expired. ","")&amp;IF(AND(W130&lt;&gt;"",W130&lt;&gt;"Accept",AV130=""),"Target rating not set. ","")&amp;IF(AND(BE130="Closed",AX130="No"),"Closed while outside appetite. ","")&amp;IF(AND(W130="Transfer",BE130&lt;&gt;"Transferred",BE130&lt;&gt;"Closed"),"Transfer: record the contract, SLA and audit rights. ","")&amp;IF(AZ130="","Risk owner missing. ","")&amp;IF(K130="","Scenario not written. ",""))))</f>
        <v/>
      </c>
      <c r="BM130" s="82" t="n"/>
    </row>
    <row r="131">
      <c r="A131" s="84" t="n"/>
      <c r="B131" s="83" t="n"/>
      <c r="C131" s="80" t="n"/>
      <c r="D131" s="81">
        <f>IF(C131="","",IFERROR(INDEX(Lists!$O$2:$O$13,MATCH(C131,Lists!$N$2:$N$13,0)),"Check domain code"))</f>
        <v/>
      </c>
      <c r="E131" s="81">
        <f>IF(C131="","",IFERROR(INDEX(Lists!$P$2:$P$13,MATCH(C131,Lists!$N$2:$N$13,0)),""))</f>
        <v/>
      </c>
      <c r="F131" s="80" t="n"/>
      <c r="G131" s="82" t="n"/>
      <c r="H131" s="82" t="n"/>
      <c r="I131" s="82" t="n"/>
      <c r="J131" s="83" t="n"/>
      <c r="K131" s="82" t="n"/>
      <c r="L131" s="82" t="n"/>
      <c r="M131" s="84" t="n"/>
      <c r="N131" s="21" t="n"/>
      <c r="O131" s="82" t="n"/>
      <c r="P131" s="85" t="n"/>
      <c r="Q131" s="85" t="n"/>
      <c r="R131" s="85" t="n"/>
      <c r="S131" s="21">
        <f>IF(OR(Q131="",R131=""),"",Q131*R131)</f>
        <v/>
      </c>
      <c r="T131" s="21">
        <f>IF(S131="","",INDEX(Settings!$A$20:$A$23,MATCH(S131,Settings!$B$20:$B$23,1)))</f>
        <v/>
      </c>
      <c r="U131" s="82" t="n"/>
      <c r="V131" s="86" t="n"/>
      <c r="W131" s="85" t="n"/>
      <c r="X131" s="82" t="n"/>
      <c r="Y131" s="87" t="n"/>
      <c r="Z131" s="87" t="n"/>
      <c r="AA131" s="87" t="n"/>
      <c r="AB131" s="87" t="n"/>
      <c r="AC131" s="87" t="n"/>
      <c r="AD131" s="87" t="n"/>
      <c r="AE131" s="87" t="n"/>
      <c r="AF131" s="87" t="n"/>
      <c r="AG131" s="87" t="n"/>
      <c r="AH131" s="87" t="n"/>
      <c r="AI131" s="87" t="n"/>
      <c r="AJ131" s="88" t="n"/>
      <c r="AK131" s="87" t="n"/>
      <c r="AL131" s="87" t="n"/>
      <c r="AM131" s="87" t="n"/>
      <c r="AN131" s="87" t="n"/>
      <c r="AO131" s="87" t="n"/>
      <c r="AP131" s="87" t="n"/>
      <c r="AQ131" s="88" t="n"/>
      <c r="AR131" s="88" t="n"/>
      <c r="AS131" s="85" t="n"/>
      <c r="AT131" s="85" t="n"/>
      <c r="AU131" s="21">
        <f>IF(OR(AS131="",AT131=""),"",AS131*AT131)</f>
        <v/>
      </c>
      <c r="AV131" s="21">
        <f>IF(AU131="","",INDEX(Settings!$A$20:$A$23,MATCH(AU131,Settings!$B$20:$B$23,1)))</f>
        <v/>
      </c>
      <c r="AW131" s="21">
        <f>IF(AV131&lt;&gt;"",AV131,T131)</f>
        <v/>
      </c>
      <c r="AX131" s="21">
        <f>IF(AW131="","",IF(MATCH(AW131,Settings!$A$20:$A$23,0)&lt;=MATCH(Settings!$C$28,Settings!$A$20:$A$23,0),"Yes","No"))</f>
        <v/>
      </c>
      <c r="AY131" s="81">
        <f>IF(AW131="","",IF(AX131="Yes",INDEX(Settings!$G$20:$G$23,MATCH(AW131,Settings!$A$20:$A$23,0)),INDEX(Settings!$G$20:$G$23,MATCH(AW131,Settings!$A$20:$A$23,0))&amp;" (outside appetite)"))</f>
        <v/>
      </c>
      <c r="AZ131" s="82" t="n"/>
      <c r="BA131" s="82" t="n"/>
      <c r="BB131" s="89" t="n"/>
      <c r="BC131" s="90">
        <f>IF(OR(BB131="",T131=""),"",BB131+INDEX(Settings!$E$20:$E$23,MATCH(T131,Settings!$A$20:$A$23,0)))</f>
        <v/>
      </c>
      <c r="BD131" s="89" t="n"/>
      <c r="BE131" s="82" t="n"/>
      <c r="BF131" s="81">
        <f>IF(A131="","",IF(OR(BE131="Closed",BE131="Accepted"),"No action",IF(BB131="","Set date identified",IF(TODAY()&gt;BC131,"Deadline exceeded",IF(BC131-TODAY()&lt;=Settings!$C$30,"Deadline approaching","On track")))))</f>
        <v/>
      </c>
      <c r="BG131" s="89" t="n"/>
      <c r="BH131" s="89" t="n"/>
      <c r="BI131" s="90">
        <f>IF(OR(BH131="",AW131=""),"",EDATE(BH131,INDEX(Settings!$F$20:$F$23,MATCH(AW131,Settings!$A$20:$A$23,0))))</f>
        <v/>
      </c>
      <c r="BJ131" s="21">
        <f>IF(T131="","",IF(MAX(IF(T131="",0,MATCH(T131,Settings!$A$20:$A$23,0)),IF(AV131="",0,MATCH(AV131,Settings!$A$20:$A$23,0)))&gt;=MATCH(Settings!$C$29,Settings!$A$20:$A$23,0),"Yes","No"))</f>
        <v/>
      </c>
      <c r="BK131" s="82" t="n"/>
      <c r="BL131" s="81">
        <f>IF(A131="","",IF(TRIM(IF(W131="","Treatment not chosen. ","")&amp;IF(AND(W131="Accept",AX131="No"),"Accepted outside appetite: record approval by "&amp;INDEX(Settings!$G$20:$G$23,MATCH(AW131,Settings!$A$20:$A$23,0))&amp;". ","")&amp;IF(AND(W131="Accept",BG131=""),"Acceptance expiry missing. ","")&amp;IF(AND(BG131&lt;&gt;"",BG131&lt;TODAY()),"Acceptance expired. ","")&amp;IF(AND(W131&lt;&gt;"",W131&lt;&gt;"Accept",AV131=""),"Target rating not set. ","")&amp;IF(AND(BE131="Closed",AX131="No"),"Closed while outside appetite. ","")&amp;IF(AND(W131="Transfer",BE131&lt;&gt;"Transferred",BE131&lt;&gt;"Closed"),"Transfer: record the contract, SLA and audit rights. ","")&amp;IF(AZ131="","Risk owner missing. ","")&amp;IF(K131="","Scenario not written. ",""))="","OK",TRIM(IF(W131="","Treatment not chosen. ","")&amp;IF(AND(W131="Accept",AX131="No"),"Accepted outside appetite: record approval by "&amp;INDEX(Settings!$G$20:$G$23,MATCH(AW131,Settings!$A$20:$A$23,0))&amp;". ","")&amp;IF(AND(W131="Accept",BG131=""),"Acceptance expiry missing. ","")&amp;IF(AND(BG131&lt;&gt;"",BG131&lt;TODAY()),"Acceptance expired. ","")&amp;IF(AND(W131&lt;&gt;"",W131&lt;&gt;"Accept",AV131=""),"Target rating not set. ","")&amp;IF(AND(BE131="Closed",AX131="No"),"Closed while outside appetite. ","")&amp;IF(AND(W131="Transfer",BE131&lt;&gt;"Transferred",BE131&lt;&gt;"Closed"),"Transfer: record the contract, SLA and audit rights. ","")&amp;IF(AZ131="","Risk owner missing. ","")&amp;IF(K131="","Scenario not written. ",""))))</f>
        <v/>
      </c>
      <c r="BM131" s="82" t="n"/>
    </row>
    <row r="132">
      <c r="A132" s="94" t="n"/>
      <c r="B132" s="93" t="n"/>
      <c r="C132" s="80" t="n"/>
      <c r="D132" s="81">
        <f>IF(C132="","",IFERROR(INDEX(Lists!$O$2:$O$13,MATCH(C132,Lists!$N$2:$N$13,0)),"Check domain code"))</f>
        <v/>
      </c>
      <c r="E132" s="81">
        <f>IF(C132="","",IFERROR(INDEX(Lists!$P$2:$P$13,MATCH(C132,Lists!$N$2:$N$13,0)),""))</f>
        <v/>
      </c>
      <c r="F132" s="80" t="n"/>
      <c r="G132" s="82" t="n"/>
      <c r="H132" s="82" t="n"/>
      <c r="I132" s="82" t="n"/>
      <c r="J132" s="93" t="n"/>
      <c r="K132" s="82" t="n"/>
      <c r="L132" s="82" t="n"/>
      <c r="M132" s="94" t="n"/>
      <c r="N132" s="21" t="n"/>
      <c r="O132" s="82" t="n"/>
      <c r="P132" s="85" t="n"/>
      <c r="Q132" s="85" t="n"/>
      <c r="R132" s="85" t="n"/>
      <c r="S132" s="21">
        <f>IF(OR(Q132="",R132=""),"",Q132*R132)</f>
        <v/>
      </c>
      <c r="T132" s="21">
        <f>IF(S132="","",INDEX(Settings!$A$20:$A$23,MATCH(S132,Settings!$B$20:$B$23,1)))</f>
        <v/>
      </c>
      <c r="U132" s="82" t="n"/>
      <c r="V132" s="86" t="n"/>
      <c r="W132" s="85" t="n"/>
      <c r="X132" s="82" t="n"/>
      <c r="Y132" s="95" t="n"/>
      <c r="Z132" s="95" t="n"/>
      <c r="AA132" s="95" t="n"/>
      <c r="AB132" s="95" t="n"/>
      <c r="AC132" s="95" t="n"/>
      <c r="AD132" s="95" t="n"/>
      <c r="AE132" s="95" t="n"/>
      <c r="AF132" s="95" t="n"/>
      <c r="AG132" s="95" t="n"/>
      <c r="AH132" s="95" t="n"/>
      <c r="AI132" s="95" t="n"/>
      <c r="AJ132" s="96" t="n"/>
      <c r="AK132" s="95" t="n"/>
      <c r="AL132" s="95" t="n"/>
      <c r="AM132" s="95" t="n"/>
      <c r="AN132" s="95" t="n"/>
      <c r="AO132" s="95" t="n"/>
      <c r="AP132" s="95" t="n"/>
      <c r="AQ132" s="96" t="n"/>
      <c r="AR132" s="96" t="n"/>
      <c r="AS132" s="85" t="n"/>
      <c r="AT132" s="85" t="n"/>
      <c r="AU132" s="21">
        <f>IF(OR(AS132="",AT132=""),"",AS132*AT132)</f>
        <v/>
      </c>
      <c r="AV132" s="21">
        <f>IF(AU132="","",INDEX(Settings!$A$20:$A$23,MATCH(AU132,Settings!$B$20:$B$23,1)))</f>
        <v/>
      </c>
      <c r="AW132" s="21">
        <f>IF(AV132&lt;&gt;"",AV132,T132)</f>
        <v/>
      </c>
      <c r="AX132" s="21">
        <f>IF(AW132="","",IF(MATCH(AW132,Settings!$A$20:$A$23,0)&lt;=MATCH(Settings!$C$28,Settings!$A$20:$A$23,0),"Yes","No"))</f>
        <v/>
      </c>
      <c r="AY132" s="81">
        <f>IF(AW132="","",IF(AX132="Yes",INDEX(Settings!$G$20:$G$23,MATCH(AW132,Settings!$A$20:$A$23,0)),INDEX(Settings!$G$20:$G$23,MATCH(AW132,Settings!$A$20:$A$23,0))&amp;" (outside appetite)"))</f>
        <v/>
      </c>
      <c r="AZ132" s="82" t="n"/>
      <c r="BA132" s="82" t="n"/>
      <c r="BB132" s="89" t="n"/>
      <c r="BC132" s="90">
        <f>IF(OR(BB132="",T132=""),"",BB132+INDEX(Settings!$E$20:$E$23,MATCH(T132,Settings!$A$20:$A$23,0)))</f>
        <v/>
      </c>
      <c r="BD132" s="89" t="n"/>
      <c r="BE132" s="82" t="n"/>
      <c r="BF132" s="81">
        <f>IF(A132="","",IF(OR(BE132="Closed",BE132="Accepted"),"No action",IF(BB132="","Set date identified",IF(TODAY()&gt;BC132,"Deadline exceeded",IF(BC132-TODAY()&lt;=Settings!$C$30,"Deadline approaching","On track")))))</f>
        <v/>
      </c>
      <c r="BG132" s="89" t="n"/>
      <c r="BH132" s="89" t="n"/>
      <c r="BI132" s="90">
        <f>IF(OR(BH132="",AW132=""),"",EDATE(BH132,INDEX(Settings!$F$20:$F$23,MATCH(AW132,Settings!$A$20:$A$23,0))))</f>
        <v/>
      </c>
      <c r="BJ132" s="21">
        <f>IF(T132="","",IF(MAX(IF(T132="",0,MATCH(T132,Settings!$A$20:$A$23,0)),IF(AV132="",0,MATCH(AV132,Settings!$A$20:$A$23,0)))&gt;=MATCH(Settings!$C$29,Settings!$A$20:$A$23,0),"Yes","No"))</f>
        <v/>
      </c>
      <c r="BK132" s="82" t="n"/>
      <c r="BL132" s="81">
        <f>IF(A132="","",IF(TRIM(IF(W132="","Treatment not chosen. ","")&amp;IF(AND(W132="Accept",AX132="No"),"Accepted outside appetite: record approval by "&amp;INDEX(Settings!$G$20:$G$23,MATCH(AW132,Settings!$A$20:$A$23,0))&amp;". ","")&amp;IF(AND(W132="Accept",BG132=""),"Acceptance expiry missing. ","")&amp;IF(AND(BG132&lt;&gt;"",BG132&lt;TODAY()),"Acceptance expired. ","")&amp;IF(AND(W132&lt;&gt;"",W132&lt;&gt;"Accept",AV132=""),"Target rating not set. ","")&amp;IF(AND(BE132="Closed",AX132="No"),"Closed while outside appetite. ","")&amp;IF(AND(W132="Transfer",BE132&lt;&gt;"Transferred",BE132&lt;&gt;"Closed"),"Transfer: record the contract, SLA and audit rights. ","")&amp;IF(AZ132="","Risk owner missing. ","")&amp;IF(K132="","Scenario not written. ",""))="","OK",TRIM(IF(W132="","Treatment not chosen. ","")&amp;IF(AND(W132="Accept",AX132="No"),"Accepted outside appetite: record approval by "&amp;INDEX(Settings!$G$20:$G$23,MATCH(AW132,Settings!$A$20:$A$23,0))&amp;". ","")&amp;IF(AND(W132="Accept",BG132=""),"Acceptance expiry missing. ","")&amp;IF(AND(BG132&lt;&gt;"",BG132&lt;TODAY()),"Acceptance expired. ","")&amp;IF(AND(W132&lt;&gt;"",W132&lt;&gt;"Accept",AV132=""),"Target rating not set. ","")&amp;IF(AND(BE132="Closed",AX132="No"),"Closed while outside appetite. ","")&amp;IF(AND(W132="Transfer",BE132&lt;&gt;"Transferred",BE132&lt;&gt;"Closed"),"Transfer: record the contract, SLA and audit rights. ","")&amp;IF(AZ132="","Risk owner missing. ","")&amp;IF(K132="","Scenario not written. ",""))))</f>
        <v/>
      </c>
      <c r="BM132" s="82" t="n"/>
    </row>
    <row r="133">
      <c r="A133" s="84" t="n"/>
      <c r="B133" s="83" t="n"/>
      <c r="C133" s="80" t="n"/>
      <c r="D133" s="81">
        <f>IF(C133="","",IFERROR(INDEX(Lists!$O$2:$O$13,MATCH(C133,Lists!$N$2:$N$13,0)),"Check domain code"))</f>
        <v/>
      </c>
      <c r="E133" s="81">
        <f>IF(C133="","",IFERROR(INDEX(Lists!$P$2:$P$13,MATCH(C133,Lists!$N$2:$N$13,0)),""))</f>
        <v/>
      </c>
      <c r="F133" s="80" t="n"/>
      <c r="G133" s="82" t="n"/>
      <c r="H133" s="82" t="n"/>
      <c r="I133" s="82" t="n"/>
      <c r="J133" s="83" t="n"/>
      <c r="K133" s="82" t="n"/>
      <c r="L133" s="82" t="n"/>
      <c r="M133" s="84" t="n"/>
      <c r="N133" s="21" t="n"/>
      <c r="O133" s="82" t="n"/>
      <c r="P133" s="85" t="n"/>
      <c r="Q133" s="85" t="n"/>
      <c r="R133" s="85" t="n"/>
      <c r="S133" s="21">
        <f>IF(OR(Q133="",R133=""),"",Q133*R133)</f>
        <v/>
      </c>
      <c r="T133" s="21">
        <f>IF(S133="","",INDEX(Settings!$A$20:$A$23,MATCH(S133,Settings!$B$20:$B$23,1)))</f>
        <v/>
      </c>
      <c r="U133" s="82" t="n"/>
      <c r="V133" s="86" t="n"/>
      <c r="W133" s="85" t="n"/>
      <c r="X133" s="82" t="n"/>
      <c r="Y133" s="87" t="n"/>
      <c r="Z133" s="87" t="n"/>
      <c r="AA133" s="87" t="n"/>
      <c r="AB133" s="87" t="n"/>
      <c r="AC133" s="87" t="n"/>
      <c r="AD133" s="87" t="n"/>
      <c r="AE133" s="87" t="n"/>
      <c r="AF133" s="87" t="n"/>
      <c r="AG133" s="87" t="n"/>
      <c r="AH133" s="87" t="n"/>
      <c r="AI133" s="87" t="n"/>
      <c r="AJ133" s="88" t="n"/>
      <c r="AK133" s="87" t="n"/>
      <c r="AL133" s="87" t="n"/>
      <c r="AM133" s="87" t="n"/>
      <c r="AN133" s="87" t="n"/>
      <c r="AO133" s="87" t="n"/>
      <c r="AP133" s="87" t="n"/>
      <c r="AQ133" s="88" t="n"/>
      <c r="AR133" s="88" t="n"/>
      <c r="AS133" s="85" t="n"/>
      <c r="AT133" s="85" t="n"/>
      <c r="AU133" s="21">
        <f>IF(OR(AS133="",AT133=""),"",AS133*AT133)</f>
        <v/>
      </c>
      <c r="AV133" s="21">
        <f>IF(AU133="","",INDEX(Settings!$A$20:$A$23,MATCH(AU133,Settings!$B$20:$B$23,1)))</f>
        <v/>
      </c>
      <c r="AW133" s="21">
        <f>IF(AV133&lt;&gt;"",AV133,T133)</f>
        <v/>
      </c>
      <c r="AX133" s="21">
        <f>IF(AW133="","",IF(MATCH(AW133,Settings!$A$20:$A$23,0)&lt;=MATCH(Settings!$C$28,Settings!$A$20:$A$23,0),"Yes","No"))</f>
        <v/>
      </c>
      <c r="AY133" s="81">
        <f>IF(AW133="","",IF(AX133="Yes",INDEX(Settings!$G$20:$G$23,MATCH(AW133,Settings!$A$20:$A$23,0)),INDEX(Settings!$G$20:$G$23,MATCH(AW133,Settings!$A$20:$A$23,0))&amp;" (outside appetite)"))</f>
        <v/>
      </c>
      <c r="AZ133" s="82" t="n"/>
      <c r="BA133" s="82" t="n"/>
      <c r="BB133" s="89" t="n"/>
      <c r="BC133" s="90">
        <f>IF(OR(BB133="",T133=""),"",BB133+INDEX(Settings!$E$20:$E$23,MATCH(T133,Settings!$A$20:$A$23,0)))</f>
        <v/>
      </c>
      <c r="BD133" s="89" t="n"/>
      <c r="BE133" s="82" t="n"/>
      <c r="BF133" s="81">
        <f>IF(A133="","",IF(OR(BE133="Closed",BE133="Accepted"),"No action",IF(BB133="","Set date identified",IF(TODAY()&gt;BC133,"Deadline exceeded",IF(BC133-TODAY()&lt;=Settings!$C$30,"Deadline approaching","On track")))))</f>
        <v/>
      </c>
      <c r="BG133" s="89" t="n"/>
      <c r="BH133" s="89" t="n"/>
      <c r="BI133" s="90">
        <f>IF(OR(BH133="",AW133=""),"",EDATE(BH133,INDEX(Settings!$F$20:$F$23,MATCH(AW133,Settings!$A$20:$A$23,0))))</f>
        <v/>
      </c>
      <c r="BJ133" s="21">
        <f>IF(T133="","",IF(MAX(IF(T133="",0,MATCH(T133,Settings!$A$20:$A$23,0)),IF(AV133="",0,MATCH(AV133,Settings!$A$20:$A$23,0)))&gt;=MATCH(Settings!$C$29,Settings!$A$20:$A$23,0),"Yes","No"))</f>
        <v/>
      </c>
      <c r="BK133" s="82" t="n"/>
      <c r="BL133" s="81">
        <f>IF(A133="","",IF(TRIM(IF(W133="","Treatment not chosen. ","")&amp;IF(AND(W133="Accept",AX133="No"),"Accepted outside appetite: record approval by "&amp;INDEX(Settings!$G$20:$G$23,MATCH(AW133,Settings!$A$20:$A$23,0))&amp;". ","")&amp;IF(AND(W133="Accept",BG133=""),"Acceptance expiry missing. ","")&amp;IF(AND(BG133&lt;&gt;"",BG133&lt;TODAY()),"Acceptance expired. ","")&amp;IF(AND(W133&lt;&gt;"",W133&lt;&gt;"Accept",AV133=""),"Target rating not set. ","")&amp;IF(AND(BE133="Closed",AX133="No"),"Closed while outside appetite. ","")&amp;IF(AND(W133="Transfer",BE133&lt;&gt;"Transferred",BE133&lt;&gt;"Closed"),"Transfer: record the contract, SLA and audit rights. ","")&amp;IF(AZ133="","Risk owner missing. ","")&amp;IF(K133="","Scenario not written. ",""))="","OK",TRIM(IF(W133="","Treatment not chosen. ","")&amp;IF(AND(W133="Accept",AX133="No"),"Accepted outside appetite: record approval by "&amp;INDEX(Settings!$G$20:$G$23,MATCH(AW133,Settings!$A$20:$A$23,0))&amp;". ","")&amp;IF(AND(W133="Accept",BG133=""),"Acceptance expiry missing. ","")&amp;IF(AND(BG133&lt;&gt;"",BG133&lt;TODAY()),"Acceptance expired. ","")&amp;IF(AND(W133&lt;&gt;"",W133&lt;&gt;"Accept",AV133=""),"Target rating not set. ","")&amp;IF(AND(BE133="Closed",AX133="No"),"Closed while outside appetite. ","")&amp;IF(AND(W133="Transfer",BE133&lt;&gt;"Transferred",BE133&lt;&gt;"Closed"),"Transfer: record the contract, SLA and audit rights. ","")&amp;IF(AZ133="","Risk owner missing. ","")&amp;IF(K133="","Scenario not written. ",""))))</f>
        <v/>
      </c>
      <c r="BM133" s="82" t="n"/>
    </row>
    <row r="134">
      <c r="A134" s="94" t="n"/>
      <c r="B134" s="93" t="n"/>
      <c r="C134" s="80" t="n"/>
      <c r="D134" s="81">
        <f>IF(C134="","",IFERROR(INDEX(Lists!$O$2:$O$13,MATCH(C134,Lists!$N$2:$N$13,0)),"Check domain code"))</f>
        <v/>
      </c>
      <c r="E134" s="81">
        <f>IF(C134="","",IFERROR(INDEX(Lists!$P$2:$P$13,MATCH(C134,Lists!$N$2:$N$13,0)),""))</f>
        <v/>
      </c>
      <c r="F134" s="80" t="n"/>
      <c r="G134" s="82" t="n"/>
      <c r="H134" s="82" t="n"/>
      <c r="I134" s="82" t="n"/>
      <c r="J134" s="93" t="n"/>
      <c r="K134" s="82" t="n"/>
      <c r="L134" s="82" t="n"/>
      <c r="M134" s="94" t="n"/>
      <c r="N134" s="21" t="n"/>
      <c r="O134" s="82" t="n"/>
      <c r="P134" s="85" t="n"/>
      <c r="Q134" s="85" t="n"/>
      <c r="R134" s="85" t="n"/>
      <c r="S134" s="21">
        <f>IF(OR(Q134="",R134=""),"",Q134*R134)</f>
        <v/>
      </c>
      <c r="T134" s="21">
        <f>IF(S134="","",INDEX(Settings!$A$20:$A$23,MATCH(S134,Settings!$B$20:$B$23,1)))</f>
        <v/>
      </c>
      <c r="U134" s="82" t="n"/>
      <c r="V134" s="86" t="n"/>
      <c r="W134" s="85" t="n"/>
      <c r="X134" s="82" t="n"/>
      <c r="Y134" s="95" t="n"/>
      <c r="Z134" s="95" t="n"/>
      <c r="AA134" s="95" t="n"/>
      <c r="AB134" s="95" t="n"/>
      <c r="AC134" s="95" t="n"/>
      <c r="AD134" s="95" t="n"/>
      <c r="AE134" s="95" t="n"/>
      <c r="AF134" s="95" t="n"/>
      <c r="AG134" s="95" t="n"/>
      <c r="AH134" s="95" t="n"/>
      <c r="AI134" s="95" t="n"/>
      <c r="AJ134" s="96" t="n"/>
      <c r="AK134" s="95" t="n"/>
      <c r="AL134" s="95" t="n"/>
      <c r="AM134" s="95" t="n"/>
      <c r="AN134" s="95" t="n"/>
      <c r="AO134" s="95" t="n"/>
      <c r="AP134" s="95" t="n"/>
      <c r="AQ134" s="96" t="n"/>
      <c r="AR134" s="96" t="n"/>
      <c r="AS134" s="85" t="n"/>
      <c r="AT134" s="85" t="n"/>
      <c r="AU134" s="21">
        <f>IF(OR(AS134="",AT134=""),"",AS134*AT134)</f>
        <v/>
      </c>
      <c r="AV134" s="21">
        <f>IF(AU134="","",INDEX(Settings!$A$20:$A$23,MATCH(AU134,Settings!$B$20:$B$23,1)))</f>
        <v/>
      </c>
      <c r="AW134" s="21">
        <f>IF(AV134&lt;&gt;"",AV134,T134)</f>
        <v/>
      </c>
      <c r="AX134" s="21">
        <f>IF(AW134="","",IF(MATCH(AW134,Settings!$A$20:$A$23,0)&lt;=MATCH(Settings!$C$28,Settings!$A$20:$A$23,0),"Yes","No"))</f>
        <v/>
      </c>
      <c r="AY134" s="81">
        <f>IF(AW134="","",IF(AX134="Yes",INDEX(Settings!$G$20:$G$23,MATCH(AW134,Settings!$A$20:$A$23,0)),INDEX(Settings!$G$20:$G$23,MATCH(AW134,Settings!$A$20:$A$23,0))&amp;" (outside appetite)"))</f>
        <v/>
      </c>
      <c r="AZ134" s="82" t="n"/>
      <c r="BA134" s="82" t="n"/>
      <c r="BB134" s="89" t="n"/>
      <c r="BC134" s="90">
        <f>IF(OR(BB134="",T134=""),"",BB134+INDEX(Settings!$E$20:$E$23,MATCH(T134,Settings!$A$20:$A$23,0)))</f>
        <v/>
      </c>
      <c r="BD134" s="89" t="n"/>
      <c r="BE134" s="82" t="n"/>
      <c r="BF134" s="81">
        <f>IF(A134="","",IF(OR(BE134="Closed",BE134="Accepted"),"No action",IF(BB134="","Set date identified",IF(TODAY()&gt;BC134,"Deadline exceeded",IF(BC134-TODAY()&lt;=Settings!$C$30,"Deadline approaching","On track")))))</f>
        <v/>
      </c>
      <c r="BG134" s="89" t="n"/>
      <c r="BH134" s="89" t="n"/>
      <c r="BI134" s="90">
        <f>IF(OR(BH134="",AW134=""),"",EDATE(BH134,INDEX(Settings!$F$20:$F$23,MATCH(AW134,Settings!$A$20:$A$23,0))))</f>
        <v/>
      </c>
      <c r="BJ134" s="21">
        <f>IF(T134="","",IF(MAX(IF(T134="",0,MATCH(T134,Settings!$A$20:$A$23,0)),IF(AV134="",0,MATCH(AV134,Settings!$A$20:$A$23,0)))&gt;=MATCH(Settings!$C$29,Settings!$A$20:$A$23,0),"Yes","No"))</f>
        <v/>
      </c>
      <c r="BK134" s="82" t="n"/>
      <c r="BL134" s="81">
        <f>IF(A134="","",IF(TRIM(IF(W134="","Treatment not chosen. ","")&amp;IF(AND(W134="Accept",AX134="No"),"Accepted outside appetite: record approval by "&amp;INDEX(Settings!$G$20:$G$23,MATCH(AW134,Settings!$A$20:$A$23,0))&amp;". ","")&amp;IF(AND(W134="Accept",BG134=""),"Acceptance expiry missing. ","")&amp;IF(AND(BG134&lt;&gt;"",BG134&lt;TODAY()),"Acceptance expired. ","")&amp;IF(AND(W134&lt;&gt;"",W134&lt;&gt;"Accept",AV134=""),"Target rating not set. ","")&amp;IF(AND(BE134="Closed",AX134="No"),"Closed while outside appetite. ","")&amp;IF(AND(W134="Transfer",BE134&lt;&gt;"Transferred",BE134&lt;&gt;"Closed"),"Transfer: record the contract, SLA and audit rights. ","")&amp;IF(AZ134="","Risk owner missing. ","")&amp;IF(K134="","Scenario not written. ",""))="","OK",TRIM(IF(W134="","Treatment not chosen. ","")&amp;IF(AND(W134="Accept",AX134="No"),"Accepted outside appetite: record approval by "&amp;INDEX(Settings!$G$20:$G$23,MATCH(AW134,Settings!$A$20:$A$23,0))&amp;". ","")&amp;IF(AND(W134="Accept",BG134=""),"Acceptance expiry missing. ","")&amp;IF(AND(BG134&lt;&gt;"",BG134&lt;TODAY()),"Acceptance expired. ","")&amp;IF(AND(W134&lt;&gt;"",W134&lt;&gt;"Accept",AV134=""),"Target rating not set. ","")&amp;IF(AND(BE134="Closed",AX134="No"),"Closed while outside appetite. ","")&amp;IF(AND(W134="Transfer",BE134&lt;&gt;"Transferred",BE134&lt;&gt;"Closed"),"Transfer: record the contract, SLA and audit rights. ","")&amp;IF(AZ134="","Risk owner missing. ","")&amp;IF(K134="","Scenario not written. ",""))))</f>
        <v/>
      </c>
      <c r="BM134" s="82" t="n"/>
    </row>
    <row r="135">
      <c r="A135" s="84" t="n"/>
      <c r="B135" s="83" t="n"/>
      <c r="C135" s="80" t="n"/>
      <c r="D135" s="81">
        <f>IF(C135="","",IFERROR(INDEX(Lists!$O$2:$O$13,MATCH(C135,Lists!$N$2:$N$13,0)),"Check domain code"))</f>
        <v/>
      </c>
      <c r="E135" s="81">
        <f>IF(C135="","",IFERROR(INDEX(Lists!$P$2:$P$13,MATCH(C135,Lists!$N$2:$N$13,0)),""))</f>
        <v/>
      </c>
      <c r="F135" s="80" t="n"/>
      <c r="G135" s="82" t="n"/>
      <c r="H135" s="82" t="n"/>
      <c r="I135" s="82" t="n"/>
      <c r="J135" s="83" t="n"/>
      <c r="K135" s="82" t="n"/>
      <c r="L135" s="82" t="n"/>
      <c r="M135" s="84" t="n"/>
      <c r="N135" s="21" t="n"/>
      <c r="O135" s="82" t="n"/>
      <c r="P135" s="85" t="n"/>
      <c r="Q135" s="85" t="n"/>
      <c r="R135" s="85" t="n"/>
      <c r="S135" s="21">
        <f>IF(OR(Q135="",R135=""),"",Q135*R135)</f>
        <v/>
      </c>
      <c r="T135" s="21">
        <f>IF(S135="","",INDEX(Settings!$A$20:$A$23,MATCH(S135,Settings!$B$20:$B$23,1)))</f>
        <v/>
      </c>
      <c r="U135" s="82" t="n"/>
      <c r="V135" s="86" t="n"/>
      <c r="W135" s="85" t="n"/>
      <c r="X135" s="82" t="n"/>
      <c r="Y135" s="87" t="n"/>
      <c r="Z135" s="87" t="n"/>
      <c r="AA135" s="87" t="n"/>
      <c r="AB135" s="87" t="n"/>
      <c r="AC135" s="87" t="n"/>
      <c r="AD135" s="87" t="n"/>
      <c r="AE135" s="87" t="n"/>
      <c r="AF135" s="87" t="n"/>
      <c r="AG135" s="87" t="n"/>
      <c r="AH135" s="87" t="n"/>
      <c r="AI135" s="87" t="n"/>
      <c r="AJ135" s="88" t="n"/>
      <c r="AK135" s="87" t="n"/>
      <c r="AL135" s="87" t="n"/>
      <c r="AM135" s="87" t="n"/>
      <c r="AN135" s="87" t="n"/>
      <c r="AO135" s="87" t="n"/>
      <c r="AP135" s="87" t="n"/>
      <c r="AQ135" s="88" t="n"/>
      <c r="AR135" s="88" t="n"/>
      <c r="AS135" s="85" t="n"/>
      <c r="AT135" s="85" t="n"/>
      <c r="AU135" s="21">
        <f>IF(OR(AS135="",AT135=""),"",AS135*AT135)</f>
        <v/>
      </c>
      <c r="AV135" s="21">
        <f>IF(AU135="","",INDEX(Settings!$A$20:$A$23,MATCH(AU135,Settings!$B$20:$B$23,1)))</f>
        <v/>
      </c>
      <c r="AW135" s="21">
        <f>IF(AV135&lt;&gt;"",AV135,T135)</f>
        <v/>
      </c>
      <c r="AX135" s="21">
        <f>IF(AW135="","",IF(MATCH(AW135,Settings!$A$20:$A$23,0)&lt;=MATCH(Settings!$C$28,Settings!$A$20:$A$23,0),"Yes","No"))</f>
        <v/>
      </c>
      <c r="AY135" s="81">
        <f>IF(AW135="","",IF(AX135="Yes",INDEX(Settings!$G$20:$G$23,MATCH(AW135,Settings!$A$20:$A$23,0)),INDEX(Settings!$G$20:$G$23,MATCH(AW135,Settings!$A$20:$A$23,0))&amp;" (outside appetite)"))</f>
        <v/>
      </c>
      <c r="AZ135" s="82" t="n"/>
      <c r="BA135" s="82" t="n"/>
      <c r="BB135" s="89" t="n"/>
      <c r="BC135" s="90">
        <f>IF(OR(BB135="",T135=""),"",BB135+INDEX(Settings!$E$20:$E$23,MATCH(T135,Settings!$A$20:$A$23,0)))</f>
        <v/>
      </c>
      <c r="BD135" s="89" t="n"/>
      <c r="BE135" s="82" t="n"/>
      <c r="BF135" s="81">
        <f>IF(A135="","",IF(OR(BE135="Closed",BE135="Accepted"),"No action",IF(BB135="","Set date identified",IF(TODAY()&gt;BC135,"Deadline exceeded",IF(BC135-TODAY()&lt;=Settings!$C$30,"Deadline approaching","On track")))))</f>
        <v/>
      </c>
      <c r="BG135" s="89" t="n"/>
      <c r="BH135" s="89" t="n"/>
      <c r="BI135" s="90">
        <f>IF(OR(BH135="",AW135=""),"",EDATE(BH135,INDEX(Settings!$F$20:$F$23,MATCH(AW135,Settings!$A$20:$A$23,0))))</f>
        <v/>
      </c>
      <c r="BJ135" s="21">
        <f>IF(T135="","",IF(MAX(IF(T135="",0,MATCH(T135,Settings!$A$20:$A$23,0)),IF(AV135="",0,MATCH(AV135,Settings!$A$20:$A$23,0)))&gt;=MATCH(Settings!$C$29,Settings!$A$20:$A$23,0),"Yes","No"))</f>
        <v/>
      </c>
      <c r="BK135" s="82" t="n"/>
      <c r="BL135" s="81">
        <f>IF(A135="","",IF(TRIM(IF(W135="","Treatment not chosen. ","")&amp;IF(AND(W135="Accept",AX135="No"),"Accepted outside appetite: record approval by "&amp;INDEX(Settings!$G$20:$G$23,MATCH(AW135,Settings!$A$20:$A$23,0))&amp;". ","")&amp;IF(AND(W135="Accept",BG135=""),"Acceptance expiry missing. ","")&amp;IF(AND(BG135&lt;&gt;"",BG135&lt;TODAY()),"Acceptance expired. ","")&amp;IF(AND(W135&lt;&gt;"",W135&lt;&gt;"Accept",AV135=""),"Target rating not set. ","")&amp;IF(AND(BE135="Closed",AX135="No"),"Closed while outside appetite. ","")&amp;IF(AND(W135="Transfer",BE135&lt;&gt;"Transferred",BE135&lt;&gt;"Closed"),"Transfer: record the contract, SLA and audit rights. ","")&amp;IF(AZ135="","Risk owner missing. ","")&amp;IF(K135="","Scenario not written. ",""))="","OK",TRIM(IF(W135="","Treatment not chosen. ","")&amp;IF(AND(W135="Accept",AX135="No"),"Accepted outside appetite: record approval by "&amp;INDEX(Settings!$G$20:$G$23,MATCH(AW135,Settings!$A$20:$A$23,0))&amp;". ","")&amp;IF(AND(W135="Accept",BG135=""),"Acceptance expiry missing. ","")&amp;IF(AND(BG135&lt;&gt;"",BG135&lt;TODAY()),"Acceptance expired. ","")&amp;IF(AND(W135&lt;&gt;"",W135&lt;&gt;"Accept",AV135=""),"Target rating not set. ","")&amp;IF(AND(BE135="Closed",AX135="No"),"Closed while outside appetite. ","")&amp;IF(AND(W135="Transfer",BE135&lt;&gt;"Transferred",BE135&lt;&gt;"Closed"),"Transfer: record the contract, SLA and audit rights. ","")&amp;IF(AZ135="","Risk owner missing. ","")&amp;IF(K135="","Scenario not written. ",""))))</f>
        <v/>
      </c>
      <c r="BM135" s="82" t="n"/>
    </row>
    <row r="136">
      <c r="A136" s="94" t="n"/>
      <c r="B136" s="93" t="n"/>
      <c r="C136" s="80" t="n"/>
      <c r="D136" s="81">
        <f>IF(C136="","",IFERROR(INDEX(Lists!$O$2:$O$13,MATCH(C136,Lists!$N$2:$N$13,0)),"Check domain code"))</f>
        <v/>
      </c>
      <c r="E136" s="81">
        <f>IF(C136="","",IFERROR(INDEX(Lists!$P$2:$P$13,MATCH(C136,Lists!$N$2:$N$13,0)),""))</f>
        <v/>
      </c>
      <c r="F136" s="80" t="n"/>
      <c r="G136" s="82" t="n"/>
      <c r="H136" s="82" t="n"/>
      <c r="I136" s="82" t="n"/>
      <c r="J136" s="93" t="n"/>
      <c r="K136" s="82" t="n"/>
      <c r="L136" s="82" t="n"/>
      <c r="M136" s="94" t="n"/>
      <c r="N136" s="21" t="n"/>
      <c r="O136" s="82" t="n"/>
      <c r="P136" s="85" t="n"/>
      <c r="Q136" s="85" t="n"/>
      <c r="R136" s="85" t="n"/>
      <c r="S136" s="21">
        <f>IF(OR(Q136="",R136=""),"",Q136*R136)</f>
        <v/>
      </c>
      <c r="T136" s="21">
        <f>IF(S136="","",INDEX(Settings!$A$20:$A$23,MATCH(S136,Settings!$B$20:$B$23,1)))</f>
        <v/>
      </c>
      <c r="U136" s="82" t="n"/>
      <c r="V136" s="86" t="n"/>
      <c r="W136" s="85" t="n"/>
      <c r="X136" s="82" t="n"/>
      <c r="Y136" s="95" t="n"/>
      <c r="Z136" s="95" t="n"/>
      <c r="AA136" s="95" t="n"/>
      <c r="AB136" s="95" t="n"/>
      <c r="AC136" s="95" t="n"/>
      <c r="AD136" s="95" t="n"/>
      <c r="AE136" s="95" t="n"/>
      <c r="AF136" s="95" t="n"/>
      <c r="AG136" s="95" t="n"/>
      <c r="AH136" s="95" t="n"/>
      <c r="AI136" s="95" t="n"/>
      <c r="AJ136" s="96" t="n"/>
      <c r="AK136" s="95" t="n"/>
      <c r="AL136" s="95" t="n"/>
      <c r="AM136" s="95" t="n"/>
      <c r="AN136" s="95" t="n"/>
      <c r="AO136" s="95" t="n"/>
      <c r="AP136" s="95" t="n"/>
      <c r="AQ136" s="96" t="n"/>
      <c r="AR136" s="96" t="n"/>
      <c r="AS136" s="85" t="n"/>
      <c r="AT136" s="85" t="n"/>
      <c r="AU136" s="21">
        <f>IF(OR(AS136="",AT136=""),"",AS136*AT136)</f>
        <v/>
      </c>
      <c r="AV136" s="21">
        <f>IF(AU136="","",INDEX(Settings!$A$20:$A$23,MATCH(AU136,Settings!$B$20:$B$23,1)))</f>
        <v/>
      </c>
      <c r="AW136" s="21">
        <f>IF(AV136&lt;&gt;"",AV136,T136)</f>
        <v/>
      </c>
      <c r="AX136" s="21">
        <f>IF(AW136="","",IF(MATCH(AW136,Settings!$A$20:$A$23,0)&lt;=MATCH(Settings!$C$28,Settings!$A$20:$A$23,0),"Yes","No"))</f>
        <v/>
      </c>
      <c r="AY136" s="81">
        <f>IF(AW136="","",IF(AX136="Yes",INDEX(Settings!$G$20:$G$23,MATCH(AW136,Settings!$A$20:$A$23,0)),INDEX(Settings!$G$20:$G$23,MATCH(AW136,Settings!$A$20:$A$23,0))&amp;" (outside appetite)"))</f>
        <v/>
      </c>
      <c r="AZ136" s="82" t="n"/>
      <c r="BA136" s="82" t="n"/>
      <c r="BB136" s="89" t="n"/>
      <c r="BC136" s="90">
        <f>IF(OR(BB136="",T136=""),"",BB136+INDEX(Settings!$E$20:$E$23,MATCH(T136,Settings!$A$20:$A$23,0)))</f>
        <v/>
      </c>
      <c r="BD136" s="89" t="n"/>
      <c r="BE136" s="82" t="n"/>
      <c r="BF136" s="81">
        <f>IF(A136="","",IF(OR(BE136="Closed",BE136="Accepted"),"No action",IF(BB136="","Set date identified",IF(TODAY()&gt;BC136,"Deadline exceeded",IF(BC136-TODAY()&lt;=Settings!$C$30,"Deadline approaching","On track")))))</f>
        <v/>
      </c>
      <c r="BG136" s="89" t="n"/>
      <c r="BH136" s="89" t="n"/>
      <c r="BI136" s="90">
        <f>IF(OR(BH136="",AW136=""),"",EDATE(BH136,INDEX(Settings!$F$20:$F$23,MATCH(AW136,Settings!$A$20:$A$23,0))))</f>
        <v/>
      </c>
      <c r="BJ136" s="21">
        <f>IF(T136="","",IF(MAX(IF(T136="",0,MATCH(T136,Settings!$A$20:$A$23,0)),IF(AV136="",0,MATCH(AV136,Settings!$A$20:$A$23,0)))&gt;=MATCH(Settings!$C$29,Settings!$A$20:$A$23,0),"Yes","No"))</f>
        <v/>
      </c>
      <c r="BK136" s="82" t="n"/>
      <c r="BL136" s="81">
        <f>IF(A136="","",IF(TRIM(IF(W136="","Treatment not chosen. ","")&amp;IF(AND(W136="Accept",AX136="No"),"Accepted outside appetite: record approval by "&amp;INDEX(Settings!$G$20:$G$23,MATCH(AW136,Settings!$A$20:$A$23,0))&amp;". ","")&amp;IF(AND(W136="Accept",BG136=""),"Acceptance expiry missing. ","")&amp;IF(AND(BG136&lt;&gt;"",BG136&lt;TODAY()),"Acceptance expired. ","")&amp;IF(AND(W136&lt;&gt;"",W136&lt;&gt;"Accept",AV136=""),"Target rating not set. ","")&amp;IF(AND(BE136="Closed",AX136="No"),"Closed while outside appetite. ","")&amp;IF(AND(W136="Transfer",BE136&lt;&gt;"Transferred",BE136&lt;&gt;"Closed"),"Transfer: record the contract, SLA and audit rights. ","")&amp;IF(AZ136="","Risk owner missing. ","")&amp;IF(K136="","Scenario not written. ",""))="","OK",TRIM(IF(W136="","Treatment not chosen. ","")&amp;IF(AND(W136="Accept",AX136="No"),"Accepted outside appetite: record approval by "&amp;INDEX(Settings!$G$20:$G$23,MATCH(AW136,Settings!$A$20:$A$23,0))&amp;". ","")&amp;IF(AND(W136="Accept",BG136=""),"Acceptance expiry missing. ","")&amp;IF(AND(BG136&lt;&gt;"",BG136&lt;TODAY()),"Acceptance expired. ","")&amp;IF(AND(W136&lt;&gt;"",W136&lt;&gt;"Accept",AV136=""),"Target rating not set. ","")&amp;IF(AND(BE136="Closed",AX136="No"),"Closed while outside appetite. ","")&amp;IF(AND(W136="Transfer",BE136&lt;&gt;"Transferred",BE136&lt;&gt;"Closed"),"Transfer: record the contract, SLA and audit rights. ","")&amp;IF(AZ136="","Risk owner missing. ","")&amp;IF(K136="","Scenario not written. ",""))))</f>
        <v/>
      </c>
      <c r="BM136" s="82" t="n"/>
    </row>
    <row r="137">
      <c r="A137" s="84" t="n"/>
      <c r="B137" s="83" t="n"/>
      <c r="C137" s="80" t="n"/>
      <c r="D137" s="81">
        <f>IF(C137="","",IFERROR(INDEX(Lists!$O$2:$O$13,MATCH(C137,Lists!$N$2:$N$13,0)),"Check domain code"))</f>
        <v/>
      </c>
      <c r="E137" s="81">
        <f>IF(C137="","",IFERROR(INDEX(Lists!$P$2:$P$13,MATCH(C137,Lists!$N$2:$N$13,0)),""))</f>
        <v/>
      </c>
      <c r="F137" s="80" t="n"/>
      <c r="G137" s="82" t="n"/>
      <c r="H137" s="82" t="n"/>
      <c r="I137" s="82" t="n"/>
      <c r="J137" s="83" t="n"/>
      <c r="K137" s="82" t="n"/>
      <c r="L137" s="82" t="n"/>
      <c r="M137" s="84" t="n"/>
      <c r="N137" s="21" t="n"/>
      <c r="O137" s="82" t="n"/>
      <c r="P137" s="85" t="n"/>
      <c r="Q137" s="85" t="n"/>
      <c r="R137" s="85" t="n"/>
      <c r="S137" s="21">
        <f>IF(OR(Q137="",R137=""),"",Q137*R137)</f>
        <v/>
      </c>
      <c r="T137" s="21">
        <f>IF(S137="","",INDEX(Settings!$A$20:$A$23,MATCH(S137,Settings!$B$20:$B$23,1)))</f>
        <v/>
      </c>
      <c r="U137" s="82" t="n"/>
      <c r="V137" s="86" t="n"/>
      <c r="W137" s="85" t="n"/>
      <c r="X137" s="82" t="n"/>
      <c r="Y137" s="87" t="n"/>
      <c r="Z137" s="87" t="n"/>
      <c r="AA137" s="87" t="n"/>
      <c r="AB137" s="87" t="n"/>
      <c r="AC137" s="87" t="n"/>
      <c r="AD137" s="87" t="n"/>
      <c r="AE137" s="87" t="n"/>
      <c r="AF137" s="87" t="n"/>
      <c r="AG137" s="87" t="n"/>
      <c r="AH137" s="87" t="n"/>
      <c r="AI137" s="87" t="n"/>
      <c r="AJ137" s="88" t="n"/>
      <c r="AK137" s="87" t="n"/>
      <c r="AL137" s="87" t="n"/>
      <c r="AM137" s="87" t="n"/>
      <c r="AN137" s="87" t="n"/>
      <c r="AO137" s="87" t="n"/>
      <c r="AP137" s="87" t="n"/>
      <c r="AQ137" s="88" t="n"/>
      <c r="AR137" s="88" t="n"/>
      <c r="AS137" s="85" t="n"/>
      <c r="AT137" s="85" t="n"/>
      <c r="AU137" s="21">
        <f>IF(OR(AS137="",AT137=""),"",AS137*AT137)</f>
        <v/>
      </c>
      <c r="AV137" s="21">
        <f>IF(AU137="","",INDEX(Settings!$A$20:$A$23,MATCH(AU137,Settings!$B$20:$B$23,1)))</f>
        <v/>
      </c>
      <c r="AW137" s="21">
        <f>IF(AV137&lt;&gt;"",AV137,T137)</f>
        <v/>
      </c>
      <c r="AX137" s="21">
        <f>IF(AW137="","",IF(MATCH(AW137,Settings!$A$20:$A$23,0)&lt;=MATCH(Settings!$C$28,Settings!$A$20:$A$23,0),"Yes","No"))</f>
        <v/>
      </c>
      <c r="AY137" s="81">
        <f>IF(AW137="","",IF(AX137="Yes",INDEX(Settings!$G$20:$G$23,MATCH(AW137,Settings!$A$20:$A$23,0)),INDEX(Settings!$G$20:$G$23,MATCH(AW137,Settings!$A$20:$A$23,0))&amp;" (outside appetite)"))</f>
        <v/>
      </c>
      <c r="AZ137" s="82" t="n"/>
      <c r="BA137" s="82" t="n"/>
      <c r="BB137" s="89" t="n"/>
      <c r="BC137" s="90">
        <f>IF(OR(BB137="",T137=""),"",BB137+INDEX(Settings!$E$20:$E$23,MATCH(T137,Settings!$A$20:$A$23,0)))</f>
        <v/>
      </c>
      <c r="BD137" s="89" t="n"/>
      <c r="BE137" s="82" t="n"/>
      <c r="BF137" s="81">
        <f>IF(A137="","",IF(OR(BE137="Closed",BE137="Accepted"),"No action",IF(BB137="","Set date identified",IF(TODAY()&gt;BC137,"Deadline exceeded",IF(BC137-TODAY()&lt;=Settings!$C$30,"Deadline approaching","On track")))))</f>
        <v/>
      </c>
      <c r="BG137" s="89" t="n"/>
      <c r="BH137" s="89" t="n"/>
      <c r="BI137" s="90">
        <f>IF(OR(BH137="",AW137=""),"",EDATE(BH137,INDEX(Settings!$F$20:$F$23,MATCH(AW137,Settings!$A$20:$A$23,0))))</f>
        <v/>
      </c>
      <c r="BJ137" s="21">
        <f>IF(T137="","",IF(MAX(IF(T137="",0,MATCH(T137,Settings!$A$20:$A$23,0)),IF(AV137="",0,MATCH(AV137,Settings!$A$20:$A$23,0)))&gt;=MATCH(Settings!$C$29,Settings!$A$20:$A$23,0),"Yes","No"))</f>
        <v/>
      </c>
      <c r="BK137" s="82" t="n"/>
      <c r="BL137" s="81">
        <f>IF(A137="","",IF(TRIM(IF(W137="","Treatment not chosen. ","")&amp;IF(AND(W137="Accept",AX137="No"),"Accepted outside appetite: record approval by "&amp;INDEX(Settings!$G$20:$G$23,MATCH(AW137,Settings!$A$20:$A$23,0))&amp;". ","")&amp;IF(AND(W137="Accept",BG137=""),"Acceptance expiry missing. ","")&amp;IF(AND(BG137&lt;&gt;"",BG137&lt;TODAY()),"Acceptance expired. ","")&amp;IF(AND(W137&lt;&gt;"",W137&lt;&gt;"Accept",AV137=""),"Target rating not set. ","")&amp;IF(AND(BE137="Closed",AX137="No"),"Closed while outside appetite. ","")&amp;IF(AND(W137="Transfer",BE137&lt;&gt;"Transferred",BE137&lt;&gt;"Closed"),"Transfer: record the contract, SLA and audit rights. ","")&amp;IF(AZ137="","Risk owner missing. ","")&amp;IF(K137="","Scenario not written. ",""))="","OK",TRIM(IF(W137="","Treatment not chosen. ","")&amp;IF(AND(W137="Accept",AX137="No"),"Accepted outside appetite: record approval by "&amp;INDEX(Settings!$G$20:$G$23,MATCH(AW137,Settings!$A$20:$A$23,0))&amp;". ","")&amp;IF(AND(W137="Accept",BG137=""),"Acceptance expiry missing. ","")&amp;IF(AND(BG137&lt;&gt;"",BG137&lt;TODAY()),"Acceptance expired. ","")&amp;IF(AND(W137&lt;&gt;"",W137&lt;&gt;"Accept",AV137=""),"Target rating not set. ","")&amp;IF(AND(BE137="Closed",AX137="No"),"Closed while outside appetite. ","")&amp;IF(AND(W137="Transfer",BE137&lt;&gt;"Transferred",BE137&lt;&gt;"Closed"),"Transfer: record the contract, SLA and audit rights. ","")&amp;IF(AZ137="","Risk owner missing. ","")&amp;IF(K137="","Scenario not written. ",""))))</f>
        <v/>
      </c>
      <c r="BM137" s="82" t="n"/>
    </row>
    <row r="138">
      <c r="A138" s="94" t="n"/>
      <c r="B138" s="93" t="n"/>
      <c r="C138" s="80" t="n"/>
      <c r="D138" s="81">
        <f>IF(C138="","",IFERROR(INDEX(Lists!$O$2:$O$13,MATCH(C138,Lists!$N$2:$N$13,0)),"Check domain code"))</f>
        <v/>
      </c>
      <c r="E138" s="81">
        <f>IF(C138="","",IFERROR(INDEX(Lists!$P$2:$P$13,MATCH(C138,Lists!$N$2:$N$13,0)),""))</f>
        <v/>
      </c>
      <c r="F138" s="80" t="n"/>
      <c r="G138" s="82" t="n"/>
      <c r="H138" s="82" t="n"/>
      <c r="I138" s="82" t="n"/>
      <c r="J138" s="93" t="n"/>
      <c r="K138" s="82" t="n"/>
      <c r="L138" s="82" t="n"/>
      <c r="M138" s="94" t="n"/>
      <c r="N138" s="21" t="n"/>
      <c r="O138" s="82" t="n"/>
      <c r="P138" s="85" t="n"/>
      <c r="Q138" s="85" t="n"/>
      <c r="R138" s="85" t="n"/>
      <c r="S138" s="21">
        <f>IF(OR(Q138="",R138=""),"",Q138*R138)</f>
        <v/>
      </c>
      <c r="T138" s="21">
        <f>IF(S138="","",INDEX(Settings!$A$20:$A$23,MATCH(S138,Settings!$B$20:$B$23,1)))</f>
        <v/>
      </c>
      <c r="U138" s="82" t="n"/>
      <c r="V138" s="86" t="n"/>
      <c r="W138" s="85" t="n"/>
      <c r="X138" s="82" t="n"/>
      <c r="Y138" s="95" t="n"/>
      <c r="Z138" s="95" t="n"/>
      <c r="AA138" s="95" t="n"/>
      <c r="AB138" s="95" t="n"/>
      <c r="AC138" s="95" t="n"/>
      <c r="AD138" s="95" t="n"/>
      <c r="AE138" s="95" t="n"/>
      <c r="AF138" s="95" t="n"/>
      <c r="AG138" s="95" t="n"/>
      <c r="AH138" s="95" t="n"/>
      <c r="AI138" s="95" t="n"/>
      <c r="AJ138" s="96" t="n"/>
      <c r="AK138" s="95" t="n"/>
      <c r="AL138" s="95" t="n"/>
      <c r="AM138" s="95" t="n"/>
      <c r="AN138" s="95" t="n"/>
      <c r="AO138" s="95" t="n"/>
      <c r="AP138" s="95" t="n"/>
      <c r="AQ138" s="96" t="n"/>
      <c r="AR138" s="96" t="n"/>
      <c r="AS138" s="85" t="n"/>
      <c r="AT138" s="85" t="n"/>
      <c r="AU138" s="21">
        <f>IF(OR(AS138="",AT138=""),"",AS138*AT138)</f>
        <v/>
      </c>
      <c r="AV138" s="21">
        <f>IF(AU138="","",INDEX(Settings!$A$20:$A$23,MATCH(AU138,Settings!$B$20:$B$23,1)))</f>
        <v/>
      </c>
      <c r="AW138" s="21">
        <f>IF(AV138&lt;&gt;"",AV138,T138)</f>
        <v/>
      </c>
      <c r="AX138" s="21">
        <f>IF(AW138="","",IF(MATCH(AW138,Settings!$A$20:$A$23,0)&lt;=MATCH(Settings!$C$28,Settings!$A$20:$A$23,0),"Yes","No"))</f>
        <v/>
      </c>
      <c r="AY138" s="81">
        <f>IF(AW138="","",IF(AX138="Yes",INDEX(Settings!$G$20:$G$23,MATCH(AW138,Settings!$A$20:$A$23,0)),INDEX(Settings!$G$20:$G$23,MATCH(AW138,Settings!$A$20:$A$23,0))&amp;" (outside appetite)"))</f>
        <v/>
      </c>
      <c r="AZ138" s="82" t="n"/>
      <c r="BA138" s="82" t="n"/>
      <c r="BB138" s="89" t="n"/>
      <c r="BC138" s="90">
        <f>IF(OR(BB138="",T138=""),"",BB138+INDEX(Settings!$E$20:$E$23,MATCH(T138,Settings!$A$20:$A$23,0)))</f>
        <v/>
      </c>
      <c r="BD138" s="89" t="n"/>
      <c r="BE138" s="82" t="n"/>
      <c r="BF138" s="81">
        <f>IF(A138="","",IF(OR(BE138="Closed",BE138="Accepted"),"No action",IF(BB138="","Set date identified",IF(TODAY()&gt;BC138,"Deadline exceeded",IF(BC138-TODAY()&lt;=Settings!$C$30,"Deadline approaching","On track")))))</f>
        <v/>
      </c>
      <c r="BG138" s="89" t="n"/>
      <c r="BH138" s="89" t="n"/>
      <c r="BI138" s="90">
        <f>IF(OR(BH138="",AW138=""),"",EDATE(BH138,INDEX(Settings!$F$20:$F$23,MATCH(AW138,Settings!$A$20:$A$23,0))))</f>
        <v/>
      </c>
      <c r="BJ138" s="21">
        <f>IF(T138="","",IF(MAX(IF(T138="",0,MATCH(T138,Settings!$A$20:$A$23,0)),IF(AV138="",0,MATCH(AV138,Settings!$A$20:$A$23,0)))&gt;=MATCH(Settings!$C$29,Settings!$A$20:$A$23,0),"Yes","No"))</f>
        <v/>
      </c>
      <c r="BK138" s="82" t="n"/>
      <c r="BL138" s="81">
        <f>IF(A138="","",IF(TRIM(IF(W138="","Treatment not chosen. ","")&amp;IF(AND(W138="Accept",AX138="No"),"Accepted outside appetite: record approval by "&amp;INDEX(Settings!$G$20:$G$23,MATCH(AW138,Settings!$A$20:$A$23,0))&amp;". ","")&amp;IF(AND(W138="Accept",BG138=""),"Acceptance expiry missing. ","")&amp;IF(AND(BG138&lt;&gt;"",BG138&lt;TODAY()),"Acceptance expired. ","")&amp;IF(AND(W138&lt;&gt;"",W138&lt;&gt;"Accept",AV138=""),"Target rating not set. ","")&amp;IF(AND(BE138="Closed",AX138="No"),"Closed while outside appetite. ","")&amp;IF(AND(W138="Transfer",BE138&lt;&gt;"Transferred",BE138&lt;&gt;"Closed"),"Transfer: record the contract, SLA and audit rights. ","")&amp;IF(AZ138="","Risk owner missing. ","")&amp;IF(K138="","Scenario not written. ",""))="","OK",TRIM(IF(W138="","Treatment not chosen. ","")&amp;IF(AND(W138="Accept",AX138="No"),"Accepted outside appetite: record approval by "&amp;INDEX(Settings!$G$20:$G$23,MATCH(AW138,Settings!$A$20:$A$23,0))&amp;". ","")&amp;IF(AND(W138="Accept",BG138=""),"Acceptance expiry missing. ","")&amp;IF(AND(BG138&lt;&gt;"",BG138&lt;TODAY()),"Acceptance expired. ","")&amp;IF(AND(W138&lt;&gt;"",W138&lt;&gt;"Accept",AV138=""),"Target rating not set. ","")&amp;IF(AND(BE138="Closed",AX138="No"),"Closed while outside appetite. ","")&amp;IF(AND(W138="Transfer",BE138&lt;&gt;"Transferred",BE138&lt;&gt;"Closed"),"Transfer: record the contract, SLA and audit rights. ","")&amp;IF(AZ138="","Risk owner missing. ","")&amp;IF(K138="","Scenario not written. ",""))))</f>
        <v/>
      </c>
      <c r="BM138" s="82" t="n"/>
    </row>
    <row r="139">
      <c r="A139" s="84" t="n"/>
      <c r="B139" s="83" t="n"/>
      <c r="C139" s="80" t="n"/>
      <c r="D139" s="81">
        <f>IF(C139="","",IFERROR(INDEX(Lists!$O$2:$O$13,MATCH(C139,Lists!$N$2:$N$13,0)),"Check domain code"))</f>
        <v/>
      </c>
      <c r="E139" s="81">
        <f>IF(C139="","",IFERROR(INDEX(Lists!$P$2:$P$13,MATCH(C139,Lists!$N$2:$N$13,0)),""))</f>
        <v/>
      </c>
      <c r="F139" s="80" t="n"/>
      <c r="G139" s="82" t="n"/>
      <c r="H139" s="82" t="n"/>
      <c r="I139" s="82" t="n"/>
      <c r="J139" s="83" t="n"/>
      <c r="K139" s="82" t="n"/>
      <c r="L139" s="82" t="n"/>
      <c r="M139" s="84" t="n"/>
      <c r="N139" s="21" t="n"/>
      <c r="O139" s="82" t="n"/>
      <c r="P139" s="85" t="n"/>
      <c r="Q139" s="85" t="n"/>
      <c r="R139" s="85" t="n"/>
      <c r="S139" s="21">
        <f>IF(OR(Q139="",R139=""),"",Q139*R139)</f>
        <v/>
      </c>
      <c r="T139" s="21">
        <f>IF(S139="","",INDEX(Settings!$A$20:$A$23,MATCH(S139,Settings!$B$20:$B$23,1)))</f>
        <v/>
      </c>
      <c r="U139" s="82" t="n"/>
      <c r="V139" s="86" t="n"/>
      <c r="W139" s="85" t="n"/>
      <c r="X139" s="82" t="n"/>
      <c r="Y139" s="87" t="n"/>
      <c r="Z139" s="87" t="n"/>
      <c r="AA139" s="87" t="n"/>
      <c r="AB139" s="87" t="n"/>
      <c r="AC139" s="87" t="n"/>
      <c r="AD139" s="87" t="n"/>
      <c r="AE139" s="87" t="n"/>
      <c r="AF139" s="87" t="n"/>
      <c r="AG139" s="87" t="n"/>
      <c r="AH139" s="87" t="n"/>
      <c r="AI139" s="87" t="n"/>
      <c r="AJ139" s="88" t="n"/>
      <c r="AK139" s="87" t="n"/>
      <c r="AL139" s="87" t="n"/>
      <c r="AM139" s="87" t="n"/>
      <c r="AN139" s="87" t="n"/>
      <c r="AO139" s="87" t="n"/>
      <c r="AP139" s="87" t="n"/>
      <c r="AQ139" s="88" t="n"/>
      <c r="AR139" s="88" t="n"/>
      <c r="AS139" s="85" t="n"/>
      <c r="AT139" s="85" t="n"/>
      <c r="AU139" s="21">
        <f>IF(OR(AS139="",AT139=""),"",AS139*AT139)</f>
        <v/>
      </c>
      <c r="AV139" s="21">
        <f>IF(AU139="","",INDEX(Settings!$A$20:$A$23,MATCH(AU139,Settings!$B$20:$B$23,1)))</f>
        <v/>
      </c>
      <c r="AW139" s="21">
        <f>IF(AV139&lt;&gt;"",AV139,T139)</f>
        <v/>
      </c>
      <c r="AX139" s="21">
        <f>IF(AW139="","",IF(MATCH(AW139,Settings!$A$20:$A$23,0)&lt;=MATCH(Settings!$C$28,Settings!$A$20:$A$23,0),"Yes","No"))</f>
        <v/>
      </c>
      <c r="AY139" s="81">
        <f>IF(AW139="","",IF(AX139="Yes",INDEX(Settings!$G$20:$G$23,MATCH(AW139,Settings!$A$20:$A$23,0)),INDEX(Settings!$G$20:$G$23,MATCH(AW139,Settings!$A$20:$A$23,0))&amp;" (outside appetite)"))</f>
        <v/>
      </c>
      <c r="AZ139" s="82" t="n"/>
      <c r="BA139" s="82" t="n"/>
      <c r="BB139" s="89" t="n"/>
      <c r="BC139" s="90">
        <f>IF(OR(BB139="",T139=""),"",BB139+INDEX(Settings!$E$20:$E$23,MATCH(T139,Settings!$A$20:$A$23,0)))</f>
        <v/>
      </c>
      <c r="BD139" s="89" t="n"/>
      <c r="BE139" s="82" t="n"/>
      <c r="BF139" s="81">
        <f>IF(A139="","",IF(OR(BE139="Closed",BE139="Accepted"),"No action",IF(BB139="","Set date identified",IF(TODAY()&gt;BC139,"Deadline exceeded",IF(BC139-TODAY()&lt;=Settings!$C$30,"Deadline approaching","On track")))))</f>
        <v/>
      </c>
      <c r="BG139" s="89" t="n"/>
      <c r="BH139" s="89" t="n"/>
      <c r="BI139" s="90">
        <f>IF(OR(BH139="",AW139=""),"",EDATE(BH139,INDEX(Settings!$F$20:$F$23,MATCH(AW139,Settings!$A$20:$A$23,0))))</f>
        <v/>
      </c>
      <c r="BJ139" s="21">
        <f>IF(T139="","",IF(MAX(IF(T139="",0,MATCH(T139,Settings!$A$20:$A$23,0)),IF(AV139="",0,MATCH(AV139,Settings!$A$20:$A$23,0)))&gt;=MATCH(Settings!$C$29,Settings!$A$20:$A$23,0),"Yes","No"))</f>
        <v/>
      </c>
      <c r="BK139" s="82" t="n"/>
      <c r="BL139" s="81">
        <f>IF(A139="","",IF(TRIM(IF(W139="","Treatment not chosen. ","")&amp;IF(AND(W139="Accept",AX139="No"),"Accepted outside appetite: record approval by "&amp;INDEX(Settings!$G$20:$G$23,MATCH(AW139,Settings!$A$20:$A$23,0))&amp;". ","")&amp;IF(AND(W139="Accept",BG139=""),"Acceptance expiry missing. ","")&amp;IF(AND(BG139&lt;&gt;"",BG139&lt;TODAY()),"Acceptance expired. ","")&amp;IF(AND(W139&lt;&gt;"",W139&lt;&gt;"Accept",AV139=""),"Target rating not set. ","")&amp;IF(AND(BE139="Closed",AX139="No"),"Closed while outside appetite. ","")&amp;IF(AND(W139="Transfer",BE139&lt;&gt;"Transferred",BE139&lt;&gt;"Closed"),"Transfer: record the contract, SLA and audit rights. ","")&amp;IF(AZ139="","Risk owner missing. ","")&amp;IF(K139="","Scenario not written. ",""))="","OK",TRIM(IF(W139="","Treatment not chosen. ","")&amp;IF(AND(W139="Accept",AX139="No"),"Accepted outside appetite: record approval by "&amp;INDEX(Settings!$G$20:$G$23,MATCH(AW139,Settings!$A$20:$A$23,0))&amp;". ","")&amp;IF(AND(W139="Accept",BG139=""),"Acceptance expiry missing. ","")&amp;IF(AND(BG139&lt;&gt;"",BG139&lt;TODAY()),"Acceptance expired. ","")&amp;IF(AND(W139&lt;&gt;"",W139&lt;&gt;"Accept",AV139=""),"Target rating not set. ","")&amp;IF(AND(BE139="Closed",AX139="No"),"Closed while outside appetite. ","")&amp;IF(AND(W139="Transfer",BE139&lt;&gt;"Transferred",BE139&lt;&gt;"Closed"),"Transfer: record the contract, SLA and audit rights. ","")&amp;IF(AZ139="","Risk owner missing. ","")&amp;IF(K139="","Scenario not written. ",""))))</f>
        <v/>
      </c>
      <c r="BM139" s="82" t="n"/>
    </row>
    <row r="140">
      <c r="A140" s="94" t="n"/>
      <c r="B140" s="93" t="n"/>
      <c r="C140" s="80" t="n"/>
      <c r="D140" s="81">
        <f>IF(C140="","",IFERROR(INDEX(Lists!$O$2:$O$13,MATCH(C140,Lists!$N$2:$N$13,0)),"Check domain code"))</f>
        <v/>
      </c>
      <c r="E140" s="81">
        <f>IF(C140="","",IFERROR(INDEX(Lists!$P$2:$P$13,MATCH(C140,Lists!$N$2:$N$13,0)),""))</f>
        <v/>
      </c>
      <c r="F140" s="80" t="n"/>
      <c r="G140" s="82" t="n"/>
      <c r="H140" s="82" t="n"/>
      <c r="I140" s="82" t="n"/>
      <c r="J140" s="93" t="n"/>
      <c r="K140" s="82" t="n"/>
      <c r="L140" s="82" t="n"/>
      <c r="M140" s="94" t="n"/>
      <c r="N140" s="21" t="n"/>
      <c r="O140" s="82" t="n"/>
      <c r="P140" s="85" t="n"/>
      <c r="Q140" s="85" t="n"/>
      <c r="R140" s="85" t="n"/>
      <c r="S140" s="21">
        <f>IF(OR(Q140="",R140=""),"",Q140*R140)</f>
        <v/>
      </c>
      <c r="T140" s="21">
        <f>IF(S140="","",INDEX(Settings!$A$20:$A$23,MATCH(S140,Settings!$B$20:$B$23,1)))</f>
        <v/>
      </c>
      <c r="U140" s="82" t="n"/>
      <c r="V140" s="86" t="n"/>
      <c r="W140" s="85" t="n"/>
      <c r="X140" s="82" t="n"/>
      <c r="Y140" s="95" t="n"/>
      <c r="Z140" s="95" t="n"/>
      <c r="AA140" s="95" t="n"/>
      <c r="AB140" s="95" t="n"/>
      <c r="AC140" s="95" t="n"/>
      <c r="AD140" s="95" t="n"/>
      <c r="AE140" s="95" t="n"/>
      <c r="AF140" s="95" t="n"/>
      <c r="AG140" s="95" t="n"/>
      <c r="AH140" s="95" t="n"/>
      <c r="AI140" s="95" t="n"/>
      <c r="AJ140" s="96" t="n"/>
      <c r="AK140" s="95" t="n"/>
      <c r="AL140" s="95" t="n"/>
      <c r="AM140" s="95" t="n"/>
      <c r="AN140" s="95" t="n"/>
      <c r="AO140" s="95" t="n"/>
      <c r="AP140" s="95" t="n"/>
      <c r="AQ140" s="96" t="n"/>
      <c r="AR140" s="96" t="n"/>
      <c r="AS140" s="85" t="n"/>
      <c r="AT140" s="85" t="n"/>
      <c r="AU140" s="21">
        <f>IF(OR(AS140="",AT140=""),"",AS140*AT140)</f>
        <v/>
      </c>
      <c r="AV140" s="21">
        <f>IF(AU140="","",INDEX(Settings!$A$20:$A$23,MATCH(AU140,Settings!$B$20:$B$23,1)))</f>
        <v/>
      </c>
      <c r="AW140" s="21">
        <f>IF(AV140&lt;&gt;"",AV140,T140)</f>
        <v/>
      </c>
      <c r="AX140" s="21">
        <f>IF(AW140="","",IF(MATCH(AW140,Settings!$A$20:$A$23,0)&lt;=MATCH(Settings!$C$28,Settings!$A$20:$A$23,0),"Yes","No"))</f>
        <v/>
      </c>
      <c r="AY140" s="81">
        <f>IF(AW140="","",IF(AX140="Yes",INDEX(Settings!$G$20:$G$23,MATCH(AW140,Settings!$A$20:$A$23,0)),INDEX(Settings!$G$20:$G$23,MATCH(AW140,Settings!$A$20:$A$23,0))&amp;" (outside appetite)"))</f>
        <v/>
      </c>
      <c r="AZ140" s="82" t="n"/>
      <c r="BA140" s="82" t="n"/>
      <c r="BB140" s="89" t="n"/>
      <c r="BC140" s="90">
        <f>IF(OR(BB140="",T140=""),"",BB140+INDEX(Settings!$E$20:$E$23,MATCH(T140,Settings!$A$20:$A$23,0)))</f>
        <v/>
      </c>
      <c r="BD140" s="89" t="n"/>
      <c r="BE140" s="82" t="n"/>
      <c r="BF140" s="81">
        <f>IF(A140="","",IF(OR(BE140="Closed",BE140="Accepted"),"No action",IF(BB140="","Set date identified",IF(TODAY()&gt;BC140,"Deadline exceeded",IF(BC140-TODAY()&lt;=Settings!$C$30,"Deadline approaching","On track")))))</f>
        <v/>
      </c>
      <c r="BG140" s="89" t="n"/>
      <c r="BH140" s="89" t="n"/>
      <c r="BI140" s="90">
        <f>IF(OR(BH140="",AW140=""),"",EDATE(BH140,INDEX(Settings!$F$20:$F$23,MATCH(AW140,Settings!$A$20:$A$23,0))))</f>
        <v/>
      </c>
      <c r="BJ140" s="21">
        <f>IF(T140="","",IF(MAX(IF(T140="",0,MATCH(T140,Settings!$A$20:$A$23,0)),IF(AV140="",0,MATCH(AV140,Settings!$A$20:$A$23,0)))&gt;=MATCH(Settings!$C$29,Settings!$A$20:$A$23,0),"Yes","No"))</f>
        <v/>
      </c>
      <c r="BK140" s="82" t="n"/>
      <c r="BL140" s="81">
        <f>IF(A140="","",IF(TRIM(IF(W140="","Treatment not chosen. ","")&amp;IF(AND(W140="Accept",AX140="No"),"Accepted outside appetite: record approval by "&amp;INDEX(Settings!$G$20:$G$23,MATCH(AW140,Settings!$A$20:$A$23,0))&amp;". ","")&amp;IF(AND(W140="Accept",BG140=""),"Acceptance expiry missing. ","")&amp;IF(AND(BG140&lt;&gt;"",BG140&lt;TODAY()),"Acceptance expired. ","")&amp;IF(AND(W140&lt;&gt;"",W140&lt;&gt;"Accept",AV140=""),"Target rating not set. ","")&amp;IF(AND(BE140="Closed",AX140="No"),"Closed while outside appetite. ","")&amp;IF(AND(W140="Transfer",BE140&lt;&gt;"Transferred",BE140&lt;&gt;"Closed"),"Transfer: record the contract, SLA and audit rights. ","")&amp;IF(AZ140="","Risk owner missing. ","")&amp;IF(K140="","Scenario not written. ",""))="","OK",TRIM(IF(W140="","Treatment not chosen. ","")&amp;IF(AND(W140="Accept",AX140="No"),"Accepted outside appetite: record approval by "&amp;INDEX(Settings!$G$20:$G$23,MATCH(AW140,Settings!$A$20:$A$23,0))&amp;". ","")&amp;IF(AND(W140="Accept",BG140=""),"Acceptance expiry missing. ","")&amp;IF(AND(BG140&lt;&gt;"",BG140&lt;TODAY()),"Acceptance expired. ","")&amp;IF(AND(W140&lt;&gt;"",W140&lt;&gt;"Accept",AV140=""),"Target rating not set. ","")&amp;IF(AND(BE140="Closed",AX140="No"),"Closed while outside appetite. ","")&amp;IF(AND(W140="Transfer",BE140&lt;&gt;"Transferred",BE140&lt;&gt;"Closed"),"Transfer: record the contract, SLA and audit rights. ","")&amp;IF(AZ140="","Risk owner missing. ","")&amp;IF(K140="","Scenario not written. ",""))))</f>
        <v/>
      </c>
      <c r="BM140" s="82" t="n"/>
    </row>
    <row r="141">
      <c r="A141" s="84" t="n"/>
      <c r="B141" s="83" t="n"/>
      <c r="C141" s="80" t="n"/>
      <c r="D141" s="81">
        <f>IF(C141="","",IFERROR(INDEX(Lists!$O$2:$O$13,MATCH(C141,Lists!$N$2:$N$13,0)),"Check domain code"))</f>
        <v/>
      </c>
      <c r="E141" s="81">
        <f>IF(C141="","",IFERROR(INDEX(Lists!$P$2:$P$13,MATCH(C141,Lists!$N$2:$N$13,0)),""))</f>
        <v/>
      </c>
      <c r="F141" s="80" t="n"/>
      <c r="G141" s="82" t="n"/>
      <c r="H141" s="82" t="n"/>
      <c r="I141" s="82" t="n"/>
      <c r="J141" s="83" t="n"/>
      <c r="K141" s="82" t="n"/>
      <c r="L141" s="82" t="n"/>
      <c r="M141" s="84" t="n"/>
      <c r="N141" s="21" t="n"/>
      <c r="O141" s="82" t="n"/>
      <c r="P141" s="85" t="n"/>
      <c r="Q141" s="85" t="n"/>
      <c r="R141" s="85" t="n"/>
      <c r="S141" s="21">
        <f>IF(OR(Q141="",R141=""),"",Q141*R141)</f>
        <v/>
      </c>
      <c r="T141" s="21">
        <f>IF(S141="","",INDEX(Settings!$A$20:$A$23,MATCH(S141,Settings!$B$20:$B$23,1)))</f>
        <v/>
      </c>
      <c r="U141" s="82" t="n"/>
      <c r="V141" s="86" t="n"/>
      <c r="W141" s="85" t="n"/>
      <c r="X141" s="82" t="n"/>
      <c r="Y141" s="87" t="n"/>
      <c r="Z141" s="87" t="n"/>
      <c r="AA141" s="87" t="n"/>
      <c r="AB141" s="87" t="n"/>
      <c r="AC141" s="87" t="n"/>
      <c r="AD141" s="87" t="n"/>
      <c r="AE141" s="87" t="n"/>
      <c r="AF141" s="87" t="n"/>
      <c r="AG141" s="87" t="n"/>
      <c r="AH141" s="87" t="n"/>
      <c r="AI141" s="87" t="n"/>
      <c r="AJ141" s="88" t="n"/>
      <c r="AK141" s="87" t="n"/>
      <c r="AL141" s="87" t="n"/>
      <c r="AM141" s="87" t="n"/>
      <c r="AN141" s="87" t="n"/>
      <c r="AO141" s="87" t="n"/>
      <c r="AP141" s="87" t="n"/>
      <c r="AQ141" s="88" t="n"/>
      <c r="AR141" s="88" t="n"/>
      <c r="AS141" s="85" t="n"/>
      <c r="AT141" s="85" t="n"/>
      <c r="AU141" s="21">
        <f>IF(OR(AS141="",AT141=""),"",AS141*AT141)</f>
        <v/>
      </c>
      <c r="AV141" s="21">
        <f>IF(AU141="","",INDEX(Settings!$A$20:$A$23,MATCH(AU141,Settings!$B$20:$B$23,1)))</f>
        <v/>
      </c>
      <c r="AW141" s="21">
        <f>IF(AV141&lt;&gt;"",AV141,T141)</f>
        <v/>
      </c>
      <c r="AX141" s="21">
        <f>IF(AW141="","",IF(MATCH(AW141,Settings!$A$20:$A$23,0)&lt;=MATCH(Settings!$C$28,Settings!$A$20:$A$23,0),"Yes","No"))</f>
        <v/>
      </c>
      <c r="AY141" s="81">
        <f>IF(AW141="","",IF(AX141="Yes",INDEX(Settings!$G$20:$G$23,MATCH(AW141,Settings!$A$20:$A$23,0)),INDEX(Settings!$G$20:$G$23,MATCH(AW141,Settings!$A$20:$A$23,0))&amp;" (outside appetite)"))</f>
        <v/>
      </c>
      <c r="AZ141" s="82" t="n"/>
      <c r="BA141" s="82" t="n"/>
      <c r="BB141" s="89" t="n"/>
      <c r="BC141" s="90">
        <f>IF(OR(BB141="",T141=""),"",BB141+INDEX(Settings!$E$20:$E$23,MATCH(T141,Settings!$A$20:$A$23,0)))</f>
        <v/>
      </c>
      <c r="BD141" s="89" t="n"/>
      <c r="BE141" s="82" t="n"/>
      <c r="BF141" s="81">
        <f>IF(A141="","",IF(OR(BE141="Closed",BE141="Accepted"),"No action",IF(BB141="","Set date identified",IF(TODAY()&gt;BC141,"Deadline exceeded",IF(BC141-TODAY()&lt;=Settings!$C$30,"Deadline approaching","On track")))))</f>
        <v/>
      </c>
      <c r="BG141" s="89" t="n"/>
      <c r="BH141" s="89" t="n"/>
      <c r="BI141" s="90">
        <f>IF(OR(BH141="",AW141=""),"",EDATE(BH141,INDEX(Settings!$F$20:$F$23,MATCH(AW141,Settings!$A$20:$A$23,0))))</f>
        <v/>
      </c>
      <c r="BJ141" s="21">
        <f>IF(T141="","",IF(MAX(IF(T141="",0,MATCH(T141,Settings!$A$20:$A$23,0)),IF(AV141="",0,MATCH(AV141,Settings!$A$20:$A$23,0)))&gt;=MATCH(Settings!$C$29,Settings!$A$20:$A$23,0),"Yes","No"))</f>
        <v/>
      </c>
      <c r="BK141" s="82" t="n"/>
      <c r="BL141" s="81">
        <f>IF(A141="","",IF(TRIM(IF(W141="","Treatment not chosen. ","")&amp;IF(AND(W141="Accept",AX141="No"),"Accepted outside appetite: record approval by "&amp;INDEX(Settings!$G$20:$G$23,MATCH(AW141,Settings!$A$20:$A$23,0))&amp;". ","")&amp;IF(AND(W141="Accept",BG141=""),"Acceptance expiry missing. ","")&amp;IF(AND(BG141&lt;&gt;"",BG141&lt;TODAY()),"Acceptance expired. ","")&amp;IF(AND(W141&lt;&gt;"",W141&lt;&gt;"Accept",AV141=""),"Target rating not set. ","")&amp;IF(AND(BE141="Closed",AX141="No"),"Closed while outside appetite. ","")&amp;IF(AND(W141="Transfer",BE141&lt;&gt;"Transferred",BE141&lt;&gt;"Closed"),"Transfer: record the contract, SLA and audit rights. ","")&amp;IF(AZ141="","Risk owner missing. ","")&amp;IF(K141="","Scenario not written. ",""))="","OK",TRIM(IF(W141="","Treatment not chosen. ","")&amp;IF(AND(W141="Accept",AX141="No"),"Accepted outside appetite: record approval by "&amp;INDEX(Settings!$G$20:$G$23,MATCH(AW141,Settings!$A$20:$A$23,0))&amp;". ","")&amp;IF(AND(W141="Accept",BG141=""),"Acceptance expiry missing. ","")&amp;IF(AND(BG141&lt;&gt;"",BG141&lt;TODAY()),"Acceptance expired. ","")&amp;IF(AND(W141&lt;&gt;"",W141&lt;&gt;"Accept",AV141=""),"Target rating not set. ","")&amp;IF(AND(BE141="Closed",AX141="No"),"Closed while outside appetite. ","")&amp;IF(AND(W141="Transfer",BE141&lt;&gt;"Transferred",BE141&lt;&gt;"Closed"),"Transfer: record the contract, SLA and audit rights. ","")&amp;IF(AZ141="","Risk owner missing. ","")&amp;IF(K141="","Scenario not written. ",""))))</f>
        <v/>
      </c>
      <c r="BM141" s="82" t="n"/>
    </row>
    <row r="142">
      <c r="A142" s="94" t="n"/>
      <c r="B142" s="93" t="n"/>
      <c r="C142" s="80" t="n"/>
      <c r="D142" s="81">
        <f>IF(C142="","",IFERROR(INDEX(Lists!$O$2:$O$13,MATCH(C142,Lists!$N$2:$N$13,0)),"Check domain code"))</f>
        <v/>
      </c>
      <c r="E142" s="81">
        <f>IF(C142="","",IFERROR(INDEX(Lists!$P$2:$P$13,MATCH(C142,Lists!$N$2:$N$13,0)),""))</f>
        <v/>
      </c>
      <c r="F142" s="80" t="n"/>
      <c r="G142" s="82" t="n"/>
      <c r="H142" s="82" t="n"/>
      <c r="I142" s="82" t="n"/>
      <c r="J142" s="93" t="n"/>
      <c r="K142" s="82" t="n"/>
      <c r="L142" s="82" t="n"/>
      <c r="M142" s="94" t="n"/>
      <c r="N142" s="21" t="n"/>
      <c r="O142" s="82" t="n"/>
      <c r="P142" s="85" t="n"/>
      <c r="Q142" s="85" t="n"/>
      <c r="R142" s="85" t="n"/>
      <c r="S142" s="21">
        <f>IF(OR(Q142="",R142=""),"",Q142*R142)</f>
        <v/>
      </c>
      <c r="T142" s="21">
        <f>IF(S142="","",INDEX(Settings!$A$20:$A$23,MATCH(S142,Settings!$B$20:$B$23,1)))</f>
        <v/>
      </c>
      <c r="U142" s="82" t="n"/>
      <c r="V142" s="86" t="n"/>
      <c r="W142" s="85" t="n"/>
      <c r="X142" s="82" t="n"/>
      <c r="Y142" s="95" t="n"/>
      <c r="Z142" s="95" t="n"/>
      <c r="AA142" s="95" t="n"/>
      <c r="AB142" s="95" t="n"/>
      <c r="AC142" s="95" t="n"/>
      <c r="AD142" s="95" t="n"/>
      <c r="AE142" s="95" t="n"/>
      <c r="AF142" s="95" t="n"/>
      <c r="AG142" s="95" t="n"/>
      <c r="AH142" s="95" t="n"/>
      <c r="AI142" s="95" t="n"/>
      <c r="AJ142" s="96" t="n"/>
      <c r="AK142" s="95" t="n"/>
      <c r="AL142" s="95" t="n"/>
      <c r="AM142" s="95" t="n"/>
      <c r="AN142" s="95" t="n"/>
      <c r="AO142" s="95" t="n"/>
      <c r="AP142" s="95" t="n"/>
      <c r="AQ142" s="96" t="n"/>
      <c r="AR142" s="96" t="n"/>
      <c r="AS142" s="85" t="n"/>
      <c r="AT142" s="85" t="n"/>
      <c r="AU142" s="21">
        <f>IF(OR(AS142="",AT142=""),"",AS142*AT142)</f>
        <v/>
      </c>
      <c r="AV142" s="21">
        <f>IF(AU142="","",INDEX(Settings!$A$20:$A$23,MATCH(AU142,Settings!$B$20:$B$23,1)))</f>
        <v/>
      </c>
      <c r="AW142" s="21">
        <f>IF(AV142&lt;&gt;"",AV142,T142)</f>
        <v/>
      </c>
      <c r="AX142" s="21">
        <f>IF(AW142="","",IF(MATCH(AW142,Settings!$A$20:$A$23,0)&lt;=MATCH(Settings!$C$28,Settings!$A$20:$A$23,0),"Yes","No"))</f>
        <v/>
      </c>
      <c r="AY142" s="81">
        <f>IF(AW142="","",IF(AX142="Yes",INDEX(Settings!$G$20:$G$23,MATCH(AW142,Settings!$A$20:$A$23,0)),INDEX(Settings!$G$20:$G$23,MATCH(AW142,Settings!$A$20:$A$23,0))&amp;" (outside appetite)"))</f>
        <v/>
      </c>
      <c r="AZ142" s="82" t="n"/>
      <c r="BA142" s="82" t="n"/>
      <c r="BB142" s="89" t="n"/>
      <c r="BC142" s="90">
        <f>IF(OR(BB142="",T142=""),"",BB142+INDEX(Settings!$E$20:$E$23,MATCH(T142,Settings!$A$20:$A$23,0)))</f>
        <v/>
      </c>
      <c r="BD142" s="89" t="n"/>
      <c r="BE142" s="82" t="n"/>
      <c r="BF142" s="81">
        <f>IF(A142="","",IF(OR(BE142="Closed",BE142="Accepted"),"No action",IF(BB142="","Set date identified",IF(TODAY()&gt;BC142,"Deadline exceeded",IF(BC142-TODAY()&lt;=Settings!$C$30,"Deadline approaching","On track")))))</f>
        <v/>
      </c>
      <c r="BG142" s="89" t="n"/>
      <c r="BH142" s="89" t="n"/>
      <c r="BI142" s="90">
        <f>IF(OR(BH142="",AW142=""),"",EDATE(BH142,INDEX(Settings!$F$20:$F$23,MATCH(AW142,Settings!$A$20:$A$23,0))))</f>
        <v/>
      </c>
      <c r="BJ142" s="21">
        <f>IF(T142="","",IF(MAX(IF(T142="",0,MATCH(T142,Settings!$A$20:$A$23,0)),IF(AV142="",0,MATCH(AV142,Settings!$A$20:$A$23,0)))&gt;=MATCH(Settings!$C$29,Settings!$A$20:$A$23,0),"Yes","No"))</f>
        <v/>
      </c>
      <c r="BK142" s="82" t="n"/>
      <c r="BL142" s="81">
        <f>IF(A142="","",IF(TRIM(IF(W142="","Treatment not chosen. ","")&amp;IF(AND(W142="Accept",AX142="No"),"Accepted outside appetite: record approval by "&amp;INDEX(Settings!$G$20:$G$23,MATCH(AW142,Settings!$A$20:$A$23,0))&amp;". ","")&amp;IF(AND(W142="Accept",BG142=""),"Acceptance expiry missing. ","")&amp;IF(AND(BG142&lt;&gt;"",BG142&lt;TODAY()),"Acceptance expired. ","")&amp;IF(AND(W142&lt;&gt;"",W142&lt;&gt;"Accept",AV142=""),"Target rating not set. ","")&amp;IF(AND(BE142="Closed",AX142="No"),"Closed while outside appetite. ","")&amp;IF(AND(W142="Transfer",BE142&lt;&gt;"Transferred",BE142&lt;&gt;"Closed"),"Transfer: record the contract, SLA and audit rights. ","")&amp;IF(AZ142="","Risk owner missing. ","")&amp;IF(K142="","Scenario not written. ",""))="","OK",TRIM(IF(W142="","Treatment not chosen. ","")&amp;IF(AND(W142="Accept",AX142="No"),"Accepted outside appetite: record approval by "&amp;INDEX(Settings!$G$20:$G$23,MATCH(AW142,Settings!$A$20:$A$23,0))&amp;". ","")&amp;IF(AND(W142="Accept",BG142=""),"Acceptance expiry missing. ","")&amp;IF(AND(BG142&lt;&gt;"",BG142&lt;TODAY()),"Acceptance expired. ","")&amp;IF(AND(W142&lt;&gt;"",W142&lt;&gt;"Accept",AV142=""),"Target rating not set. ","")&amp;IF(AND(BE142="Closed",AX142="No"),"Closed while outside appetite. ","")&amp;IF(AND(W142="Transfer",BE142&lt;&gt;"Transferred",BE142&lt;&gt;"Closed"),"Transfer: record the contract, SLA and audit rights. ","")&amp;IF(AZ142="","Risk owner missing. ","")&amp;IF(K142="","Scenario not written. ",""))))</f>
        <v/>
      </c>
      <c r="BM142" s="82" t="n"/>
    </row>
    <row r="143">
      <c r="A143" s="84" t="n"/>
      <c r="B143" s="83" t="n"/>
      <c r="C143" s="80" t="n"/>
      <c r="D143" s="81">
        <f>IF(C143="","",IFERROR(INDEX(Lists!$O$2:$O$13,MATCH(C143,Lists!$N$2:$N$13,0)),"Check domain code"))</f>
        <v/>
      </c>
      <c r="E143" s="81">
        <f>IF(C143="","",IFERROR(INDEX(Lists!$P$2:$P$13,MATCH(C143,Lists!$N$2:$N$13,0)),""))</f>
        <v/>
      </c>
      <c r="F143" s="80" t="n"/>
      <c r="G143" s="82" t="n"/>
      <c r="H143" s="82" t="n"/>
      <c r="I143" s="82" t="n"/>
      <c r="J143" s="83" t="n"/>
      <c r="K143" s="82" t="n"/>
      <c r="L143" s="82" t="n"/>
      <c r="M143" s="84" t="n"/>
      <c r="N143" s="21" t="n"/>
      <c r="O143" s="82" t="n"/>
      <c r="P143" s="85" t="n"/>
      <c r="Q143" s="85" t="n"/>
      <c r="R143" s="85" t="n"/>
      <c r="S143" s="21">
        <f>IF(OR(Q143="",R143=""),"",Q143*R143)</f>
        <v/>
      </c>
      <c r="T143" s="21">
        <f>IF(S143="","",INDEX(Settings!$A$20:$A$23,MATCH(S143,Settings!$B$20:$B$23,1)))</f>
        <v/>
      </c>
      <c r="U143" s="82" t="n"/>
      <c r="V143" s="86" t="n"/>
      <c r="W143" s="85" t="n"/>
      <c r="X143" s="82" t="n"/>
      <c r="Y143" s="87" t="n"/>
      <c r="Z143" s="87" t="n"/>
      <c r="AA143" s="87" t="n"/>
      <c r="AB143" s="87" t="n"/>
      <c r="AC143" s="87" t="n"/>
      <c r="AD143" s="87" t="n"/>
      <c r="AE143" s="87" t="n"/>
      <c r="AF143" s="87" t="n"/>
      <c r="AG143" s="87" t="n"/>
      <c r="AH143" s="87" t="n"/>
      <c r="AI143" s="87" t="n"/>
      <c r="AJ143" s="88" t="n"/>
      <c r="AK143" s="87" t="n"/>
      <c r="AL143" s="87" t="n"/>
      <c r="AM143" s="87" t="n"/>
      <c r="AN143" s="87" t="n"/>
      <c r="AO143" s="87" t="n"/>
      <c r="AP143" s="87" t="n"/>
      <c r="AQ143" s="88" t="n"/>
      <c r="AR143" s="88" t="n"/>
      <c r="AS143" s="85" t="n"/>
      <c r="AT143" s="85" t="n"/>
      <c r="AU143" s="21">
        <f>IF(OR(AS143="",AT143=""),"",AS143*AT143)</f>
        <v/>
      </c>
      <c r="AV143" s="21">
        <f>IF(AU143="","",INDEX(Settings!$A$20:$A$23,MATCH(AU143,Settings!$B$20:$B$23,1)))</f>
        <v/>
      </c>
      <c r="AW143" s="21">
        <f>IF(AV143&lt;&gt;"",AV143,T143)</f>
        <v/>
      </c>
      <c r="AX143" s="21">
        <f>IF(AW143="","",IF(MATCH(AW143,Settings!$A$20:$A$23,0)&lt;=MATCH(Settings!$C$28,Settings!$A$20:$A$23,0),"Yes","No"))</f>
        <v/>
      </c>
      <c r="AY143" s="81">
        <f>IF(AW143="","",IF(AX143="Yes",INDEX(Settings!$G$20:$G$23,MATCH(AW143,Settings!$A$20:$A$23,0)),INDEX(Settings!$G$20:$G$23,MATCH(AW143,Settings!$A$20:$A$23,0))&amp;" (outside appetite)"))</f>
        <v/>
      </c>
      <c r="AZ143" s="82" t="n"/>
      <c r="BA143" s="82" t="n"/>
      <c r="BB143" s="89" t="n"/>
      <c r="BC143" s="90">
        <f>IF(OR(BB143="",T143=""),"",BB143+INDEX(Settings!$E$20:$E$23,MATCH(T143,Settings!$A$20:$A$23,0)))</f>
        <v/>
      </c>
      <c r="BD143" s="89" t="n"/>
      <c r="BE143" s="82" t="n"/>
      <c r="BF143" s="81">
        <f>IF(A143="","",IF(OR(BE143="Closed",BE143="Accepted"),"No action",IF(BB143="","Set date identified",IF(TODAY()&gt;BC143,"Deadline exceeded",IF(BC143-TODAY()&lt;=Settings!$C$30,"Deadline approaching","On track")))))</f>
        <v/>
      </c>
      <c r="BG143" s="89" t="n"/>
      <c r="BH143" s="89" t="n"/>
      <c r="BI143" s="90">
        <f>IF(OR(BH143="",AW143=""),"",EDATE(BH143,INDEX(Settings!$F$20:$F$23,MATCH(AW143,Settings!$A$20:$A$23,0))))</f>
        <v/>
      </c>
      <c r="BJ143" s="21">
        <f>IF(T143="","",IF(MAX(IF(T143="",0,MATCH(T143,Settings!$A$20:$A$23,0)),IF(AV143="",0,MATCH(AV143,Settings!$A$20:$A$23,0)))&gt;=MATCH(Settings!$C$29,Settings!$A$20:$A$23,0),"Yes","No"))</f>
        <v/>
      </c>
      <c r="BK143" s="82" t="n"/>
      <c r="BL143" s="81">
        <f>IF(A143="","",IF(TRIM(IF(W143="","Treatment not chosen. ","")&amp;IF(AND(W143="Accept",AX143="No"),"Accepted outside appetite: record approval by "&amp;INDEX(Settings!$G$20:$G$23,MATCH(AW143,Settings!$A$20:$A$23,0))&amp;". ","")&amp;IF(AND(W143="Accept",BG143=""),"Acceptance expiry missing. ","")&amp;IF(AND(BG143&lt;&gt;"",BG143&lt;TODAY()),"Acceptance expired. ","")&amp;IF(AND(W143&lt;&gt;"",W143&lt;&gt;"Accept",AV143=""),"Target rating not set. ","")&amp;IF(AND(BE143="Closed",AX143="No"),"Closed while outside appetite. ","")&amp;IF(AND(W143="Transfer",BE143&lt;&gt;"Transferred",BE143&lt;&gt;"Closed"),"Transfer: record the contract, SLA and audit rights. ","")&amp;IF(AZ143="","Risk owner missing. ","")&amp;IF(K143="","Scenario not written. ",""))="","OK",TRIM(IF(W143="","Treatment not chosen. ","")&amp;IF(AND(W143="Accept",AX143="No"),"Accepted outside appetite: record approval by "&amp;INDEX(Settings!$G$20:$G$23,MATCH(AW143,Settings!$A$20:$A$23,0))&amp;". ","")&amp;IF(AND(W143="Accept",BG143=""),"Acceptance expiry missing. ","")&amp;IF(AND(BG143&lt;&gt;"",BG143&lt;TODAY()),"Acceptance expired. ","")&amp;IF(AND(W143&lt;&gt;"",W143&lt;&gt;"Accept",AV143=""),"Target rating not set. ","")&amp;IF(AND(BE143="Closed",AX143="No"),"Closed while outside appetite. ","")&amp;IF(AND(W143="Transfer",BE143&lt;&gt;"Transferred",BE143&lt;&gt;"Closed"),"Transfer: record the contract, SLA and audit rights. ","")&amp;IF(AZ143="","Risk owner missing. ","")&amp;IF(K143="","Scenario not written. ",""))))</f>
        <v/>
      </c>
      <c r="BM143" s="82" t="n"/>
    </row>
    <row r="144">
      <c r="A144" s="94" t="n"/>
      <c r="B144" s="93" t="n"/>
      <c r="C144" s="80" t="n"/>
      <c r="D144" s="81">
        <f>IF(C144="","",IFERROR(INDEX(Lists!$O$2:$O$13,MATCH(C144,Lists!$N$2:$N$13,0)),"Check domain code"))</f>
        <v/>
      </c>
      <c r="E144" s="81">
        <f>IF(C144="","",IFERROR(INDEX(Lists!$P$2:$P$13,MATCH(C144,Lists!$N$2:$N$13,0)),""))</f>
        <v/>
      </c>
      <c r="F144" s="80" t="n"/>
      <c r="G144" s="82" t="n"/>
      <c r="H144" s="82" t="n"/>
      <c r="I144" s="82" t="n"/>
      <c r="J144" s="93" t="n"/>
      <c r="K144" s="82" t="n"/>
      <c r="L144" s="82" t="n"/>
      <c r="M144" s="94" t="n"/>
      <c r="N144" s="21" t="n"/>
      <c r="O144" s="82" t="n"/>
      <c r="P144" s="85" t="n"/>
      <c r="Q144" s="85" t="n"/>
      <c r="R144" s="85" t="n"/>
      <c r="S144" s="21">
        <f>IF(OR(Q144="",R144=""),"",Q144*R144)</f>
        <v/>
      </c>
      <c r="T144" s="21">
        <f>IF(S144="","",INDEX(Settings!$A$20:$A$23,MATCH(S144,Settings!$B$20:$B$23,1)))</f>
        <v/>
      </c>
      <c r="U144" s="82" t="n"/>
      <c r="V144" s="86" t="n"/>
      <c r="W144" s="85" t="n"/>
      <c r="X144" s="82" t="n"/>
      <c r="Y144" s="95" t="n"/>
      <c r="Z144" s="95" t="n"/>
      <c r="AA144" s="95" t="n"/>
      <c r="AB144" s="95" t="n"/>
      <c r="AC144" s="95" t="n"/>
      <c r="AD144" s="95" t="n"/>
      <c r="AE144" s="95" t="n"/>
      <c r="AF144" s="95" t="n"/>
      <c r="AG144" s="95" t="n"/>
      <c r="AH144" s="95" t="n"/>
      <c r="AI144" s="95" t="n"/>
      <c r="AJ144" s="96" t="n"/>
      <c r="AK144" s="95" t="n"/>
      <c r="AL144" s="95" t="n"/>
      <c r="AM144" s="95" t="n"/>
      <c r="AN144" s="95" t="n"/>
      <c r="AO144" s="95" t="n"/>
      <c r="AP144" s="95" t="n"/>
      <c r="AQ144" s="96" t="n"/>
      <c r="AR144" s="96" t="n"/>
      <c r="AS144" s="85" t="n"/>
      <c r="AT144" s="85" t="n"/>
      <c r="AU144" s="21">
        <f>IF(OR(AS144="",AT144=""),"",AS144*AT144)</f>
        <v/>
      </c>
      <c r="AV144" s="21">
        <f>IF(AU144="","",INDEX(Settings!$A$20:$A$23,MATCH(AU144,Settings!$B$20:$B$23,1)))</f>
        <v/>
      </c>
      <c r="AW144" s="21">
        <f>IF(AV144&lt;&gt;"",AV144,T144)</f>
        <v/>
      </c>
      <c r="AX144" s="21">
        <f>IF(AW144="","",IF(MATCH(AW144,Settings!$A$20:$A$23,0)&lt;=MATCH(Settings!$C$28,Settings!$A$20:$A$23,0),"Yes","No"))</f>
        <v/>
      </c>
      <c r="AY144" s="81">
        <f>IF(AW144="","",IF(AX144="Yes",INDEX(Settings!$G$20:$G$23,MATCH(AW144,Settings!$A$20:$A$23,0)),INDEX(Settings!$G$20:$G$23,MATCH(AW144,Settings!$A$20:$A$23,0))&amp;" (outside appetite)"))</f>
        <v/>
      </c>
      <c r="AZ144" s="82" t="n"/>
      <c r="BA144" s="82" t="n"/>
      <c r="BB144" s="89" t="n"/>
      <c r="BC144" s="90">
        <f>IF(OR(BB144="",T144=""),"",BB144+INDEX(Settings!$E$20:$E$23,MATCH(T144,Settings!$A$20:$A$23,0)))</f>
        <v/>
      </c>
      <c r="BD144" s="89" t="n"/>
      <c r="BE144" s="82" t="n"/>
      <c r="BF144" s="81">
        <f>IF(A144="","",IF(OR(BE144="Closed",BE144="Accepted"),"No action",IF(BB144="","Set date identified",IF(TODAY()&gt;BC144,"Deadline exceeded",IF(BC144-TODAY()&lt;=Settings!$C$30,"Deadline approaching","On track")))))</f>
        <v/>
      </c>
      <c r="BG144" s="89" t="n"/>
      <c r="BH144" s="89" t="n"/>
      <c r="BI144" s="90">
        <f>IF(OR(BH144="",AW144=""),"",EDATE(BH144,INDEX(Settings!$F$20:$F$23,MATCH(AW144,Settings!$A$20:$A$23,0))))</f>
        <v/>
      </c>
      <c r="BJ144" s="21">
        <f>IF(T144="","",IF(MAX(IF(T144="",0,MATCH(T144,Settings!$A$20:$A$23,0)),IF(AV144="",0,MATCH(AV144,Settings!$A$20:$A$23,0)))&gt;=MATCH(Settings!$C$29,Settings!$A$20:$A$23,0),"Yes","No"))</f>
        <v/>
      </c>
      <c r="BK144" s="82" t="n"/>
      <c r="BL144" s="81">
        <f>IF(A144="","",IF(TRIM(IF(W144="","Treatment not chosen. ","")&amp;IF(AND(W144="Accept",AX144="No"),"Accepted outside appetite: record approval by "&amp;INDEX(Settings!$G$20:$G$23,MATCH(AW144,Settings!$A$20:$A$23,0))&amp;". ","")&amp;IF(AND(W144="Accept",BG144=""),"Acceptance expiry missing. ","")&amp;IF(AND(BG144&lt;&gt;"",BG144&lt;TODAY()),"Acceptance expired. ","")&amp;IF(AND(W144&lt;&gt;"",W144&lt;&gt;"Accept",AV144=""),"Target rating not set. ","")&amp;IF(AND(BE144="Closed",AX144="No"),"Closed while outside appetite. ","")&amp;IF(AND(W144="Transfer",BE144&lt;&gt;"Transferred",BE144&lt;&gt;"Closed"),"Transfer: record the contract, SLA and audit rights. ","")&amp;IF(AZ144="","Risk owner missing. ","")&amp;IF(K144="","Scenario not written. ",""))="","OK",TRIM(IF(W144="","Treatment not chosen. ","")&amp;IF(AND(W144="Accept",AX144="No"),"Accepted outside appetite: record approval by "&amp;INDEX(Settings!$G$20:$G$23,MATCH(AW144,Settings!$A$20:$A$23,0))&amp;". ","")&amp;IF(AND(W144="Accept",BG144=""),"Acceptance expiry missing. ","")&amp;IF(AND(BG144&lt;&gt;"",BG144&lt;TODAY()),"Acceptance expired. ","")&amp;IF(AND(W144&lt;&gt;"",W144&lt;&gt;"Accept",AV144=""),"Target rating not set. ","")&amp;IF(AND(BE144="Closed",AX144="No"),"Closed while outside appetite. ","")&amp;IF(AND(W144="Transfer",BE144&lt;&gt;"Transferred",BE144&lt;&gt;"Closed"),"Transfer: record the contract, SLA and audit rights. ","")&amp;IF(AZ144="","Risk owner missing. ","")&amp;IF(K144="","Scenario not written. ",""))))</f>
        <v/>
      </c>
      <c r="BM144" s="82" t="n"/>
    </row>
    <row r="145">
      <c r="A145" s="84" t="n"/>
      <c r="B145" s="83" t="n"/>
      <c r="C145" s="80" t="n"/>
      <c r="D145" s="81">
        <f>IF(C145="","",IFERROR(INDEX(Lists!$O$2:$O$13,MATCH(C145,Lists!$N$2:$N$13,0)),"Check domain code"))</f>
        <v/>
      </c>
      <c r="E145" s="81">
        <f>IF(C145="","",IFERROR(INDEX(Lists!$P$2:$P$13,MATCH(C145,Lists!$N$2:$N$13,0)),""))</f>
        <v/>
      </c>
      <c r="F145" s="80" t="n"/>
      <c r="G145" s="82" t="n"/>
      <c r="H145" s="82" t="n"/>
      <c r="I145" s="82" t="n"/>
      <c r="J145" s="83" t="n"/>
      <c r="K145" s="82" t="n"/>
      <c r="L145" s="82" t="n"/>
      <c r="M145" s="84" t="n"/>
      <c r="N145" s="21" t="n"/>
      <c r="O145" s="82" t="n"/>
      <c r="P145" s="85" t="n"/>
      <c r="Q145" s="85" t="n"/>
      <c r="R145" s="85" t="n"/>
      <c r="S145" s="21">
        <f>IF(OR(Q145="",R145=""),"",Q145*R145)</f>
        <v/>
      </c>
      <c r="T145" s="21">
        <f>IF(S145="","",INDEX(Settings!$A$20:$A$23,MATCH(S145,Settings!$B$20:$B$23,1)))</f>
        <v/>
      </c>
      <c r="U145" s="82" t="n"/>
      <c r="V145" s="86" t="n"/>
      <c r="W145" s="85" t="n"/>
      <c r="X145" s="82" t="n"/>
      <c r="Y145" s="87" t="n"/>
      <c r="Z145" s="87" t="n"/>
      <c r="AA145" s="87" t="n"/>
      <c r="AB145" s="87" t="n"/>
      <c r="AC145" s="87" t="n"/>
      <c r="AD145" s="87" t="n"/>
      <c r="AE145" s="87" t="n"/>
      <c r="AF145" s="87" t="n"/>
      <c r="AG145" s="87" t="n"/>
      <c r="AH145" s="87" t="n"/>
      <c r="AI145" s="87" t="n"/>
      <c r="AJ145" s="88" t="n"/>
      <c r="AK145" s="87" t="n"/>
      <c r="AL145" s="87" t="n"/>
      <c r="AM145" s="87" t="n"/>
      <c r="AN145" s="87" t="n"/>
      <c r="AO145" s="87" t="n"/>
      <c r="AP145" s="87" t="n"/>
      <c r="AQ145" s="88" t="n"/>
      <c r="AR145" s="88" t="n"/>
      <c r="AS145" s="85" t="n"/>
      <c r="AT145" s="85" t="n"/>
      <c r="AU145" s="21">
        <f>IF(OR(AS145="",AT145=""),"",AS145*AT145)</f>
        <v/>
      </c>
      <c r="AV145" s="21">
        <f>IF(AU145="","",INDEX(Settings!$A$20:$A$23,MATCH(AU145,Settings!$B$20:$B$23,1)))</f>
        <v/>
      </c>
      <c r="AW145" s="21">
        <f>IF(AV145&lt;&gt;"",AV145,T145)</f>
        <v/>
      </c>
      <c r="AX145" s="21">
        <f>IF(AW145="","",IF(MATCH(AW145,Settings!$A$20:$A$23,0)&lt;=MATCH(Settings!$C$28,Settings!$A$20:$A$23,0),"Yes","No"))</f>
        <v/>
      </c>
      <c r="AY145" s="81">
        <f>IF(AW145="","",IF(AX145="Yes",INDEX(Settings!$G$20:$G$23,MATCH(AW145,Settings!$A$20:$A$23,0)),INDEX(Settings!$G$20:$G$23,MATCH(AW145,Settings!$A$20:$A$23,0))&amp;" (outside appetite)"))</f>
        <v/>
      </c>
      <c r="AZ145" s="82" t="n"/>
      <c r="BA145" s="82" t="n"/>
      <c r="BB145" s="89" t="n"/>
      <c r="BC145" s="90">
        <f>IF(OR(BB145="",T145=""),"",BB145+INDEX(Settings!$E$20:$E$23,MATCH(T145,Settings!$A$20:$A$23,0)))</f>
        <v/>
      </c>
      <c r="BD145" s="89" t="n"/>
      <c r="BE145" s="82" t="n"/>
      <c r="BF145" s="81">
        <f>IF(A145="","",IF(OR(BE145="Closed",BE145="Accepted"),"No action",IF(BB145="","Set date identified",IF(TODAY()&gt;BC145,"Deadline exceeded",IF(BC145-TODAY()&lt;=Settings!$C$30,"Deadline approaching","On track")))))</f>
        <v/>
      </c>
      <c r="BG145" s="89" t="n"/>
      <c r="BH145" s="89" t="n"/>
      <c r="BI145" s="90">
        <f>IF(OR(BH145="",AW145=""),"",EDATE(BH145,INDEX(Settings!$F$20:$F$23,MATCH(AW145,Settings!$A$20:$A$23,0))))</f>
        <v/>
      </c>
      <c r="BJ145" s="21">
        <f>IF(T145="","",IF(MAX(IF(T145="",0,MATCH(T145,Settings!$A$20:$A$23,0)),IF(AV145="",0,MATCH(AV145,Settings!$A$20:$A$23,0)))&gt;=MATCH(Settings!$C$29,Settings!$A$20:$A$23,0),"Yes","No"))</f>
        <v/>
      </c>
      <c r="BK145" s="82" t="n"/>
      <c r="BL145" s="81">
        <f>IF(A145="","",IF(TRIM(IF(W145="","Treatment not chosen. ","")&amp;IF(AND(W145="Accept",AX145="No"),"Accepted outside appetite: record approval by "&amp;INDEX(Settings!$G$20:$G$23,MATCH(AW145,Settings!$A$20:$A$23,0))&amp;". ","")&amp;IF(AND(W145="Accept",BG145=""),"Acceptance expiry missing. ","")&amp;IF(AND(BG145&lt;&gt;"",BG145&lt;TODAY()),"Acceptance expired. ","")&amp;IF(AND(W145&lt;&gt;"",W145&lt;&gt;"Accept",AV145=""),"Target rating not set. ","")&amp;IF(AND(BE145="Closed",AX145="No"),"Closed while outside appetite. ","")&amp;IF(AND(W145="Transfer",BE145&lt;&gt;"Transferred",BE145&lt;&gt;"Closed"),"Transfer: record the contract, SLA and audit rights. ","")&amp;IF(AZ145="","Risk owner missing. ","")&amp;IF(K145="","Scenario not written. ",""))="","OK",TRIM(IF(W145="","Treatment not chosen. ","")&amp;IF(AND(W145="Accept",AX145="No"),"Accepted outside appetite: record approval by "&amp;INDEX(Settings!$G$20:$G$23,MATCH(AW145,Settings!$A$20:$A$23,0))&amp;". ","")&amp;IF(AND(W145="Accept",BG145=""),"Acceptance expiry missing. ","")&amp;IF(AND(BG145&lt;&gt;"",BG145&lt;TODAY()),"Acceptance expired. ","")&amp;IF(AND(W145&lt;&gt;"",W145&lt;&gt;"Accept",AV145=""),"Target rating not set. ","")&amp;IF(AND(BE145="Closed",AX145="No"),"Closed while outside appetite. ","")&amp;IF(AND(W145="Transfer",BE145&lt;&gt;"Transferred",BE145&lt;&gt;"Closed"),"Transfer: record the contract, SLA and audit rights. ","")&amp;IF(AZ145="","Risk owner missing. ","")&amp;IF(K145="","Scenario not written. ",""))))</f>
        <v/>
      </c>
      <c r="BM145" s="82" t="n"/>
    </row>
    <row r="146">
      <c r="A146" s="94" t="n"/>
      <c r="B146" s="93" t="n"/>
      <c r="C146" s="80" t="n"/>
      <c r="D146" s="81">
        <f>IF(C146="","",IFERROR(INDEX(Lists!$O$2:$O$13,MATCH(C146,Lists!$N$2:$N$13,0)),"Check domain code"))</f>
        <v/>
      </c>
      <c r="E146" s="81">
        <f>IF(C146="","",IFERROR(INDEX(Lists!$P$2:$P$13,MATCH(C146,Lists!$N$2:$N$13,0)),""))</f>
        <v/>
      </c>
      <c r="F146" s="80" t="n"/>
      <c r="G146" s="82" t="n"/>
      <c r="H146" s="82" t="n"/>
      <c r="I146" s="82" t="n"/>
      <c r="J146" s="93" t="n"/>
      <c r="K146" s="82" t="n"/>
      <c r="L146" s="82" t="n"/>
      <c r="M146" s="94" t="n"/>
      <c r="N146" s="21" t="n"/>
      <c r="O146" s="82" t="n"/>
      <c r="P146" s="85" t="n"/>
      <c r="Q146" s="85" t="n"/>
      <c r="R146" s="85" t="n"/>
      <c r="S146" s="21">
        <f>IF(OR(Q146="",R146=""),"",Q146*R146)</f>
        <v/>
      </c>
      <c r="T146" s="21">
        <f>IF(S146="","",INDEX(Settings!$A$20:$A$23,MATCH(S146,Settings!$B$20:$B$23,1)))</f>
        <v/>
      </c>
      <c r="U146" s="82" t="n"/>
      <c r="V146" s="86" t="n"/>
      <c r="W146" s="85" t="n"/>
      <c r="X146" s="82" t="n"/>
      <c r="Y146" s="95" t="n"/>
      <c r="Z146" s="95" t="n"/>
      <c r="AA146" s="95" t="n"/>
      <c r="AB146" s="95" t="n"/>
      <c r="AC146" s="95" t="n"/>
      <c r="AD146" s="95" t="n"/>
      <c r="AE146" s="95" t="n"/>
      <c r="AF146" s="95" t="n"/>
      <c r="AG146" s="95" t="n"/>
      <c r="AH146" s="95" t="n"/>
      <c r="AI146" s="95" t="n"/>
      <c r="AJ146" s="96" t="n"/>
      <c r="AK146" s="95" t="n"/>
      <c r="AL146" s="95" t="n"/>
      <c r="AM146" s="95" t="n"/>
      <c r="AN146" s="95" t="n"/>
      <c r="AO146" s="95" t="n"/>
      <c r="AP146" s="95" t="n"/>
      <c r="AQ146" s="96" t="n"/>
      <c r="AR146" s="96" t="n"/>
      <c r="AS146" s="85" t="n"/>
      <c r="AT146" s="85" t="n"/>
      <c r="AU146" s="21">
        <f>IF(OR(AS146="",AT146=""),"",AS146*AT146)</f>
        <v/>
      </c>
      <c r="AV146" s="21">
        <f>IF(AU146="","",INDEX(Settings!$A$20:$A$23,MATCH(AU146,Settings!$B$20:$B$23,1)))</f>
        <v/>
      </c>
      <c r="AW146" s="21">
        <f>IF(AV146&lt;&gt;"",AV146,T146)</f>
        <v/>
      </c>
      <c r="AX146" s="21">
        <f>IF(AW146="","",IF(MATCH(AW146,Settings!$A$20:$A$23,0)&lt;=MATCH(Settings!$C$28,Settings!$A$20:$A$23,0),"Yes","No"))</f>
        <v/>
      </c>
      <c r="AY146" s="81">
        <f>IF(AW146="","",IF(AX146="Yes",INDEX(Settings!$G$20:$G$23,MATCH(AW146,Settings!$A$20:$A$23,0)),INDEX(Settings!$G$20:$G$23,MATCH(AW146,Settings!$A$20:$A$23,0))&amp;" (outside appetite)"))</f>
        <v/>
      </c>
      <c r="AZ146" s="82" t="n"/>
      <c r="BA146" s="82" t="n"/>
      <c r="BB146" s="89" t="n"/>
      <c r="BC146" s="90">
        <f>IF(OR(BB146="",T146=""),"",BB146+INDEX(Settings!$E$20:$E$23,MATCH(T146,Settings!$A$20:$A$23,0)))</f>
        <v/>
      </c>
      <c r="BD146" s="89" t="n"/>
      <c r="BE146" s="82" t="n"/>
      <c r="BF146" s="81">
        <f>IF(A146="","",IF(OR(BE146="Closed",BE146="Accepted"),"No action",IF(BB146="","Set date identified",IF(TODAY()&gt;BC146,"Deadline exceeded",IF(BC146-TODAY()&lt;=Settings!$C$30,"Deadline approaching","On track")))))</f>
        <v/>
      </c>
      <c r="BG146" s="89" t="n"/>
      <c r="BH146" s="89" t="n"/>
      <c r="BI146" s="90">
        <f>IF(OR(BH146="",AW146=""),"",EDATE(BH146,INDEX(Settings!$F$20:$F$23,MATCH(AW146,Settings!$A$20:$A$23,0))))</f>
        <v/>
      </c>
      <c r="BJ146" s="21">
        <f>IF(T146="","",IF(MAX(IF(T146="",0,MATCH(T146,Settings!$A$20:$A$23,0)),IF(AV146="",0,MATCH(AV146,Settings!$A$20:$A$23,0)))&gt;=MATCH(Settings!$C$29,Settings!$A$20:$A$23,0),"Yes","No"))</f>
        <v/>
      </c>
      <c r="BK146" s="82" t="n"/>
      <c r="BL146" s="81">
        <f>IF(A146="","",IF(TRIM(IF(W146="","Treatment not chosen. ","")&amp;IF(AND(W146="Accept",AX146="No"),"Accepted outside appetite: record approval by "&amp;INDEX(Settings!$G$20:$G$23,MATCH(AW146,Settings!$A$20:$A$23,0))&amp;". ","")&amp;IF(AND(W146="Accept",BG146=""),"Acceptance expiry missing. ","")&amp;IF(AND(BG146&lt;&gt;"",BG146&lt;TODAY()),"Acceptance expired. ","")&amp;IF(AND(W146&lt;&gt;"",W146&lt;&gt;"Accept",AV146=""),"Target rating not set. ","")&amp;IF(AND(BE146="Closed",AX146="No"),"Closed while outside appetite. ","")&amp;IF(AND(W146="Transfer",BE146&lt;&gt;"Transferred",BE146&lt;&gt;"Closed"),"Transfer: record the contract, SLA and audit rights. ","")&amp;IF(AZ146="","Risk owner missing. ","")&amp;IF(K146="","Scenario not written. ",""))="","OK",TRIM(IF(W146="","Treatment not chosen. ","")&amp;IF(AND(W146="Accept",AX146="No"),"Accepted outside appetite: record approval by "&amp;INDEX(Settings!$G$20:$G$23,MATCH(AW146,Settings!$A$20:$A$23,0))&amp;". ","")&amp;IF(AND(W146="Accept",BG146=""),"Acceptance expiry missing. ","")&amp;IF(AND(BG146&lt;&gt;"",BG146&lt;TODAY()),"Acceptance expired. ","")&amp;IF(AND(W146&lt;&gt;"",W146&lt;&gt;"Accept",AV146=""),"Target rating not set. ","")&amp;IF(AND(BE146="Closed",AX146="No"),"Closed while outside appetite. ","")&amp;IF(AND(W146="Transfer",BE146&lt;&gt;"Transferred",BE146&lt;&gt;"Closed"),"Transfer: record the contract, SLA and audit rights. ","")&amp;IF(AZ146="","Risk owner missing. ","")&amp;IF(K146="","Scenario not written. ",""))))</f>
        <v/>
      </c>
      <c r="BM146" s="82" t="n"/>
    </row>
    <row r="147">
      <c r="A147" s="84" t="n"/>
      <c r="B147" s="83" t="n"/>
      <c r="C147" s="80" t="n"/>
      <c r="D147" s="81">
        <f>IF(C147="","",IFERROR(INDEX(Lists!$O$2:$O$13,MATCH(C147,Lists!$N$2:$N$13,0)),"Check domain code"))</f>
        <v/>
      </c>
      <c r="E147" s="81">
        <f>IF(C147="","",IFERROR(INDEX(Lists!$P$2:$P$13,MATCH(C147,Lists!$N$2:$N$13,0)),""))</f>
        <v/>
      </c>
      <c r="F147" s="80" t="n"/>
      <c r="G147" s="82" t="n"/>
      <c r="H147" s="82" t="n"/>
      <c r="I147" s="82" t="n"/>
      <c r="J147" s="83" t="n"/>
      <c r="K147" s="82" t="n"/>
      <c r="L147" s="82" t="n"/>
      <c r="M147" s="84" t="n"/>
      <c r="N147" s="21" t="n"/>
      <c r="O147" s="82" t="n"/>
      <c r="P147" s="85" t="n"/>
      <c r="Q147" s="85" t="n"/>
      <c r="R147" s="85" t="n"/>
      <c r="S147" s="21">
        <f>IF(OR(Q147="",R147=""),"",Q147*R147)</f>
        <v/>
      </c>
      <c r="T147" s="21">
        <f>IF(S147="","",INDEX(Settings!$A$20:$A$23,MATCH(S147,Settings!$B$20:$B$23,1)))</f>
        <v/>
      </c>
      <c r="U147" s="82" t="n"/>
      <c r="V147" s="86" t="n"/>
      <c r="W147" s="85" t="n"/>
      <c r="X147" s="82" t="n"/>
      <c r="Y147" s="87" t="n"/>
      <c r="Z147" s="87" t="n"/>
      <c r="AA147" s="87" t="n"/>
      <c r="AB147" s="87" t="n"/>
      <c r="AC147" s="87" t="n"/>
      <c r="AD147" s="87" t="n"/>
      <c r="AE147" s="87" t="n"/>
      <c r="AF147" s="87" t="n"/>
      <c r="AG147" s="87" t="n"/>
      <c r="AH147" s="87" t="n"/>
      <c r="AI147" s="87" t="n"/>
      <c r="AJ147" s="88" t="n"/>
      <c r="AK147" s="87" t="n"/>
      <c r="AL147" s="87" t="n"/>
      <c r="AM147" s="87" t="n"/>
      <c r="AN147" s="87" t="n"/>
      <c r="AO147" s="87" t="n"/>
      <c r="AP147" s="87" t="n"/>
      <c r="AQ147" s="88" t="n"/>
      <c r="AR147" s="88" t="n"/>
      <c r="AS147" s="85" t="n"/>
      <c r="AT147" s="85" t="n"/>
      <c r="AU147" s="21">
        <f>IF(OR(AS147="",AT147=""),"",AS147*AT147)</f>
        <v/>
      </c>
      <c r="AV147" s="21">
        <f>IF(AU147="","",INDEX(Settings!$A$20:$A$23,MATCH(AU147,Settings!$B$20:$B$23,1)))</f>
        <v/>
      </c>
      <c r="AW147" s="21">
        <f>IF(AV147&lt;&gt;"",AV147,T147)</f>
        <v/>
      </c>
      <c r="AX147" s="21">
        <f>IF(AW147="","",IF(MATCH(AW147,Settings!$A$20:$A$23,0)&lt;=MATCH(Settings!$C$28,Settings!$A$20:$A$23,0),"Yes","No"))</f>
        <v/>
      </c>
      <c r="AY147" s="81">
        <f>IF(AW147="","",IF(AX147="Yes",INDEX(Settings!$G$20:$G$23,MATCH(AW147,Settings!$A$20:$A$23,0)),INDEX(Settings!$G$20:$G$23,MATCH(AW147,Settings!$A$20:$A$23,0))&amp;" (outside appetite)"))</f>
        <v/>
      </c>
      <c r="AZ147" s="82" t="n"/>
      <c r="BA147" s="82" t="n"/>
      <c r="BB147" s="89" t="n"/>
      <c r="BC147" s="90">
        <f>IF(OR(BB147="",T147=""),"",BB147+INDEX(Settings!$E$20:$E$23,MATCH(T147,Settings!$A$20:$A$23,0)))</f>
        <v/>
      </c>
      <c r="BD147" s="89" t="n"/>
      <c r="BE147" s="82" t="n"/>
      <c r="BF147" s="81">
        <f>IF(A147="","",IF(OR(BE147="Closed",BE147="Accepted"),"No action",IF(BB147="","Set date identified",IF(TODAY()&gt;BC147,"Deadline exceeded",IF(BC147-TODAY()&lt;=Settings!$C$30,"Deadline approaching","On track")))))</f>
        <v/>
      </c>
      <c r="BG147" s="89" t="n"/>
      <c r="BH147" s="89" t="n"/>
      <c r="BI147" s="90">
        <f>IF(OR(BH147="",AW147=""),"",EDATE(BH147,INDEX(Settings!$F$20:$F$23,MATCH(AW147,Settings!$A$20:$A$23,0))))</f>
        <v/>
      </c>
      <c r="BJ147" s="21">
        <f>IF(T147="","",IF(MAX(IF(T147="",0,MATCH(T147,Settings!$A$20:$A$23,0)),IF(AV147="",0,MATCH(AV147,Settings!$A$20:$A$23,0)))&gt;=MATCH(Settings!$C$29,Settings!$A$20:$A$23,0),"Yes","No"))</f>
        <v/>
      </c>
      <c r="BK147" s="82" t="n"/>
      <c r="BL147" s="81">
        <f>IF(A147="","",IF(TRIM(IF(W147="","Treatment not chosen. ","")&amp;IF(AND(W147="Accept",AX147="No"),"Accepted outside appetite: record approval by "&amp;INDEX(Settings!$G$20:$G$23,MATCH(AW147,Settings!$A$20:$A$23,0))&amp;". ","")&amp;IF(AND(W147="Accept",BG147=""),"Acceptance expiry missing. ","")&amp;IF(AND(BG147&lt;&gt;"",BG147&lt;TODAY()),"Acceptance expired. ","")&amp;IF(AND(W147&lt;&gt;"",W147&lt;&gt;"Accept",AV147=""),"Target rating not set. ","")&amp;IF(AND(BE147="Closed",AX147="No"),"Closed while outside appetite. ","")&amp;IF(AND(W147="Transfer",BE147&lt;&gt;"Transferred",BE147&lt;&gt;"Closed"),"Transfer: record the contract, SLA and audit rights. ","")&amp;IF(AZ147="","Risk owner missing. ","")&amp;IF(K147="","Scenario not written. ",""))="","OK",TRIM(IF(W147="","Treatment not chosen. ","")&amp;IF(AND(W147="Accept",AX147="No"),"Accepted outside appetite: record approval by "&amp;INDEX(Settings!$G$20:$G$23,MATCH(AW147,Settings!$A$20:$A$23,0))&amp;". ","")&amp;IF(AND(W147="Accept",BG147=""),"Acceptance expiry missing. ","")&amp;IF(AND(BG147&lt;&gt;"",BG147&lt;TODAY()),"Acceptance expired. ","")&amp;IF(AND(W147&lt;&gt;"",W147&lt;&gt;"Accept",AV147=""),"Target rating not set. ","")&amp;IF(AND(BE147="Closed",AX147="No"),"Closed while outside appetite. ","")&amp;IF(AND(W147="Transfer",BE147&lt;&gt;"Transferred",BE147&lt;&gt;"Closed"),"Transfer: record the contract, SLA and audit rights. ","")&amp;IF(AZ147="","Risk owner missing. ","")&amp;IF(K147="","Scenario not written. ",""))))</f>
        <v/>
      </c>
      <c r="BM147" s="82" t="n"/>
    </row>
    <row r="148">
      <c r="A148" s="94" t="n"/>
      <c r="B148" s="93" t="n"/>
      <c r="C148" s="80" t="n"/>
      <c r="D148" s="81">
        <f>IF(C148="","",IFERROR(INDEX(Lists!$O$2:$O$13,MATCH(C148,Lists!$N$2:$N$13,0)),"Check domain code"))</f>
        <v/>
      </c>
      <c r="E148" s="81">
        <f>IF(C148="","",IFERROR(INDEX(Lists!$P$2:$P$13,MATCH(C148,Lists!$N$2:$N$13,0)),""))</f>
        <v/>
      </c>
      <c r="F148" s="80" t="n"/>
      <c r="G148" s="82" t="n"/>
      <c r="H148" s="82" t="n"/>
      <c r="I148" s="82" t="n"/>
      <c r="J148" s="93" t="n"/>
      <c r="K148" s="82" t="n"/>
      <c r="L148" s="82" t="n"/>
      <c r="M148" s="94" t="n"/>
      <c r="N148" s="21" t="n"/>
      <c r="O148" s="82" t="n"/>
      <c r="P148" s="85" t="n"/>
      <c r="Q148" s="85" t="n"/>
      <c r="R148" s="85" t="n"/>
      <c r="S148" s="21">
        <f>IF(OR(Q148="",R148=""),"",Q148*R148)</f>
        <v/>
      </c>
      <c r="T148" s="21">
        <f>IF(S148="","",INDEX(Settings!$A$20:$A$23,MATCH(S148,Settings!$B$20:$B$23,1)))</f>
        <v/>
      </c>
      <c r="U148" s="82" t="n"/>
      <c r="V148" s="86" t="n"/>
      <c r="W148" s="85" t="n"/>
      <c r="X148" s="82" t="n"/>
      <c r="Y148" s="95" t="n"/>
      <c r="Z148" s="95" t="n"/>
      <c r="AA148" s="95" t="n"/>
      <c r="AB148" s="95" t="n"/>
      <c r="AC148" s="95" t="n"/>
      <c r="AD148" s="95" t="n"/>
      <c r="AE148" s="95" t="n"/>
      <c r="AF148" s="95" t="n"/>
      <c r="AG148" s="95" t="n"/>
      <c r="AH148" s="95" t="n"/>
      <c r="AI148" s="95" t="n"/>
      <c r="AJ148" s="96" t="n"/>
      <c r="AK148" s="95" t="n"/>
      <c r="AL148" s="95" t="n"/>
      <c r="AM148" s="95" t="n"/>
      <c r="AN148" s="95" t="n"/>
      <c r="AO148" s="95" t="n"/>
      <c r="AP148" s="95" t="n"/>
      <c r="AQ148" s="96" t="n"/>
      <c r="AR148" s="96" t="n"/>
      <c r="AS148" s="85" t="n"/>
      <c r="AT148" s="85" t="n"/>
      <c r="AU148" s="21">
        <f>IF(OR(AS148="",AT148=""),"",AS148*AT148)</f>
        <v/>
      </c>
      <c r="AV148" s="21">
        <f>IF(AU148="","",INDEX(Settings!$A$20:$A$23,MATCH(AU148,Settings!$B$20:$B$23,1)))</f>
        <v/>
      </c>
      <c r="AW148" s="21">
        <f>IF(AV148&lt;&gt;"",AV148,T148)</f>
        <v/>
      </c>
      <c r="AX148" s="21">
        <f>IF(AW148="","",IF(MATCH(AW148,Settings!$A$20:$A$23,0)&lt;=MATCH(Settings!$C$28,Settings!$A$20:$A$23,0),"Yes","No"))</f>
        <v/>
      </c>
      <c r="AY148" s="81">
        <f>IF(AW148="","",IF(AX148="Yes",INDEX(Settings!$G$20:$G$23,MATCH(AW148,Settings!$A$20:$A$23,0)),INDEX(Settings!$G$20:$G$23,MATCH(AW148,Settings!$A$20:$A$23,0))&amp;" (outside appetite)"))</f>
        <v/>
      </c>
      <c r="AZ148" s="82" t="n"/>
      <c r="BA148" s="82" t="n"/>
      <c r="BB148" s="89" t="n"/>
      <c r="BC148" s="90">
        <f>IF(OR(BB148="",T148=""),"",BB148+INDEX(Settings!$E$20:$E$23,MATCH(T148,Settings!$A$20:$A$23,0)))</f>
        <v/>
      </c>
      <c r="BD148" s="89" t="n"/>
      <c r="BE148" s="82" t="n"/>
      <c r="BF148" s="81">
        <f>IF(A148="","",IF(OR(BE148="Closed",BE148="Accepted"),"No action",IF(BB148="","Set date identified",IF(TODAY()&gt;BC148,"Deadline exceeded",IF(BC148-TODAY()&lt;=Settings!$C$30,"Deadline approaching","On track")))))</f>
        <v/>
      </c>
      <c r="BG148" s="89" t="n"/>
      <c r="BH148" s="89" t="n"/>
      <c r="BI148" s="90">
        <f>IF(OR(BH148="",AW148=""),"",EDATE(BH148,INDEX(Settings!$F$20:$F$23,MATCH(AW148,Settings!$A$20:$A$23,0))))</f>
        <v/>
      </c>
      <c r="BJ148" s="21">
        <f>IF(T148="","",IF(MAX(IF(T148="",0,MATCH(T148,Settings!$A$20:$A$23,0)),IF(AV148="",0,MATCH(AV148,Settings!$A$20:$A$23,0)))&gt;=MATCH(Settings!$C$29,Settings!$A$20:$A$23,0),"Yes","No"))</f>
        <v/>
      </c>
      <c r="BK148" s="82" t="n"/>
      <c r="BL148" s="81">
        <f>IF(A148="","",IF(TRIM(IF(W148="","Treatment not chosen. ","")&amp;IF(AND(W148="Accept",AX148="No"),"Accepted outside appetite: record approval by "&amp;INDEX(Settings!$G$20:$G$23,MATCH(AW148,Settings!$A$20:$A$23,0))&amp;". ","")&amp;IF(AND(W148="Accept",BG148=""),"Acceptance expiry missing. ","")&amp;IF(AND(BG148&lt;&gt;"",BG148&lt;TODAY()),"Acceptance expired. ","")&amp;IF(AND(W148&lt;&gt;"",W148&lt;&gt;"Accept",AV148=""),"Target rating not set. ","")&amp;IF(AND(BE148="Closed",AX148="No"),"Closed while outside appetite. ","")&amp;IF(AND(W148="Transfer",BE148&lt;&gt;"Transferred",BE148&lt;&gt;"Closed"),"Transfer: record the contract, SLA and audit rights. ","")&amp;IF(AZ148="","Risk owner missing. ","")&amp;IF(K148="","Scenario not written. ",""))="","OK",TRIM(IF(W148="","Treatment not chosen. ","")&amp;IF(AND(W148="Accept",AX148="No"),"Accepted outside appetite: record approval by "&amp;INDEX(Settings!$G$20:$G$23,MATCH(AW148,Settings!$A$20:$A$23,0))&amp;". ","")&amp;IF(AND(W148="Accept",BG148=""),"Acceptance expiry missing. ","")&amp;IF(AND(BG148&lt;&gt;"",BG148&lt;TODAY()),"Acceptance expired. ","")&amp;IF(AND(W148&lt;&gt;"",W148&lt;&gt;"Accept",AV148=""),"Target rating not set. ","")&amp;IF(AND(BE148="Closed",AX148="No"),"Closed while outside appetite. ","")&amp;IF(AND(W148="Transfer",BE148&lt;&gt;"Transferred",BE148&lt;&gt;"Closed"),"Transfer: record the contract, SLA and audit rights. ","")&amp;IF(AZ148="","Risk owner missing. ","")&amp;IF(K148="","Scenario not written. ",""))))</f>
        <v/>
      </c>
      <c r="BM148" s="82" t="n"/>
    </row>
    <row r="149">
      <c r="A149" s="84" t="n"/>
      <c r="B149" s="83" t="n"/>
      <c r="C149" s="80" t="n"/>
      <c r="D149" s="81">
        <f>IF(C149="","",IFERROR(INDEX(Lists!$O$2:$O$13,MATCH(C149,Lists!$N$2:$N$13,0)),"Check domain code"))</f>
        <v/>
      </c>
      <c r="E149" s="81">
        <f>IF(C149="","",IFERROR(INDEX(Lists!$P$2:$P$13,MATCH(C149,Lists!$N$2:$N$13,0)),""))</f>
        <v/>
      </c>
      <c r="F149" s="80" t="n"/>
      <c r="G149" s="82" t="n"/>
      <c r="H149" s="82" t="n"/>
      <c r="I149" s="82" t="n"/>
      <c r="J149" s="83" t="n"/>
      <c r="K149" s="82" t="n"/>
      <c r="L149" s="82" t="n"/>
      <c r="M149" s="84" t="n"/>
      <c r="N149" s="21" t="n"/>
      <c r="O149" s="82" t="n"/>
      <c r="P149" s="85" t="n"/>
      <c r="Q149" s="85" t="n"/>
      <c r="R149" s="85" t="n"/>
      <c r="S149" s="21">
        <f>IF(OR(Q149="",R149=""),"",Q149*R149)</f>
        <v/>
      </c>
      <c r="T149" s="21">
        <f>IF(S149="","",INDEX(Settings!$A$20:$A$23,MATCH(S149,Settings!$B$20:$B$23,1)))</f>
        <v/>
      </c>
      <c r="U149" s="82" t="n"/>
      <c r="V149" s="86" t="n"/>
      <c r="W149" s="85" t="n"/>
      <c r="X149" s="82" t="n"/>
      <c r="Y149" s="87" t="n"/>
      <c r="Z149" s="87" t="n"/>
      <c r="AA149" s="87" t="n"/>
      <c r="AB149" s="87" t="n"/>
      <c r="AC149" s="87" t="n"/>
      <c r="AD149" s="87" t="n"/>
      <c r="AE149" s="87" t="n"/>
      <c r="AF149" s="87" t="n"/>
      <c r="AG149" s="87" t="n"/>
      <c r="AH149" s="87" t="n"/>
      <c r="AI149" s="87" t="n"/>
      <c r="AJ149" s="88" t="n"/>
      <c r="AK149" s="87" t="n"/>
      <c r="AL149" s="87" t="n"/>
      <c r="AM149" s="87" t="n"/>
      <c r="AN149" s="87" t="n"/>
      <c r="AO149" s="87" t="n"/>
      <c r="AP149" s="87" t="n"/>
      <c r="AQ149" s="88" t="n"/>
      <c r="AR149" s="88" t="n"/>
      <c r="AS149" s="85" t="n"/>
      <c r="AT149" s="85" t="n"/>
      <c r="AU149" s="21">
        <f>IF(OR(AS149="",AT149=""),"",AS149*AT149)</f>
        <v/>
      </c>
      <c r="AV149" s="21">
        <f>IF(AU149="","",INDEX(Settings!$A$20:$A$23,MATCH(AU149,Settings!$B$20:$B$23,1)))</f>
        <v/>
      </c>
      <c r="AW149" s="21">
        <f>IF(AV149&lt;&gt;"",AV149,T149)</f>
        <v/>
      </c>
      <c r="AX149" s="21">
        <f>IF(AW149="","",IF(MATCH(AW149,Settings!$A$20:$A$23,0)&lt;=MATCH(Settings!$C$28,Settings!$A$20:$A$23,0),"Yes","No"))</f>
        <v/>
      </c>
      <c r="AY149" s="81">
        <f>IF(AW149="","",IF(AX149="Yes",INDEX(Settings!$G$20:$G$23,MATCH(AW149,Settings!$A$20:$A$23,0)),INDEX(Settings!$G$20:$G$23,MATCH(AW149,Settings!$A$20:$A$23,0))&amp;" (outside appetite)"))</f>
        <v/>
      </c>
      <c r="AZ149" s="82" t="n"/>
      <c r="BA149" s="82" t="n"/>
      <c r="BB149" s="89" t="n"/>
      <c r="BC149" s="90">
        <f>IF(OR(BB149="",T149=""),"",BB149+INDEX(Settings!$E$20:$E$23,MATCH(T149,Settings!$A$20:$A$23,0)))</f>
        <v/>
      </c>
      <c r="BD149" s="89" t="n"/>
      <c r="BE149" s="82" t="n"/>
      <c r="BF149" s="81">
        <f>IF(A149="","",IF(OR(BE149="Closed",BE149="Accepted"),"No action",IF(BB149="","Set date identified",IF(TODAY()&gt;BC149,"Deadline exceeded",IF(BC149-TODAY()&lt;=Settings!$C$30,"Deadline approaching","On track")))))</f>
        <v/>
      </c>
      <c r="BG149" s="89" t="n"/>
      <c r="BH149" s="89" t="n"/>
      <c r="BI149" s="90">
        <f>IF(OR(BH149="",AW149=""),"",EDATE(BH149,INDEX(Settings!$F$20:$F$23,MATCH(AW149,Settings!$A$20:$A$23,0))))</f>
        <v/>
      </c>
      <c r="BJ149" s="21">
        <f>IF(T149="","",IF(MAX(IF(T149="",0,MATCH(T149,Settings!$A$20:$A$23,0)),IF(AV149="",0,MATCH(AV149,Settings!$A$20:$A$23,0)))&gt;=MATCH(Settings!$C$29,Settings!$A$20:$A$23,0),"Yes","No"))</f>
        <v/>
      </c>
      <c r="BK149" s="82" t="n"/>
      <c r="BL149" s="81">
        <f>IF(A149="","",IF(TRIM(IF(W149="","Treatment not chosen. ","")&amp;IF(AND(W149="Accept",AX149="No"),"Accepted outside appetite: record approval by "&amp;INDEX(Settings!$G$20:$G$23,MATCH(AW149,Settings!$A$20:$A$23,0))&amp;". ","")&amp;IF(AND(W149="Accept",BG149=""),"Acceptance expiry missing. ","")&amp;IF(AND(BG149&lt;&gt;"",BG149&lt;TODAY()),"Acceptance expired. ","")&amp;IF(AND(W149&lt;&gt;"",W149&lt;&gt;"Accept",AV149=""),"Target rating not set. ","")&amp;IF(AND(BE149="Closed",AX149="No"),"Closed while outside appetite. ","")&amp;IF(AND(W149="Transfer",BE149&lt;&gt;"Transferred",BE149&lt;&gt;"Closed"),"Transfer: record the contract, SLA and audit rights. ","")&amp;IF(AZ149="","Risk owner missing. ","")&amp;IF(K149="","Scenario not written. ",""))="","OK",TRIM(IF(W149="","Treatment not chosen. ","")&amp;IF(AND(W149="Accept",AX149="No"),"Accepted outside appetite: record approval by "&amp;INDEX(Settings!$G$20:$G$23,MATCH(AW149,Settings!$A$20:$A$23,0))&amp;". ","")&amp;IF(AND(W149="Accept",BG149=""),"Acceptance expiry missing. ","")&amp;IF(AND(BG149&lt;&gt;"",BG149&lt;TODAY()),"Acceptance expired. ","")&amp;IF(AND(W149&lt;&gt;"",W149&lt;&gt;"Accept",AV149=""),"Target rating not set. ","")&amp;IF(AND(BE149="Closed",AX149="No"),"Closed while outside appetite. ","")&amp;IF(AND(W149="Transfer",BE149&lt;&gt;"Transferred",BE149&lt;&gt;"Closed"),"Transfer: record the contract, SLA and audit rights. ","")&amp;IF(AZ149="","Risk owner missing. ","")&amp;IF(K149="","Scenario not written. ",""))))</f>
        <v/>
      </c>
      <c r="BM149" s="82" t="n"/>
    </row>
    <row r="150">
      <c r="A150" s="94" t="n"/>
      <c r="B150" s="93" t="n"/>
      <c r="C150" s="80" t="n"/>
      <c r="D150" s="81">
        <f>IF(C150="","",IFERROR(INDEX(Lists!$O$2:$O$13,MATCH(C150,Lists!$N$2:$N$13,0)),"Check domain code"))</f>
        <v/>
      </c>
      <c r="E150" s="81">
        <f>IF(C150="","",IFERROR(INDEX(Lists!$P$2:$P$13,MATCH(C150,Lists!$N$2:$N$13,0)),""))</f>
        <v/>
      </c>
      <c r="F150" s="80" t="n"/>
      <c r="G150" s="82" t="n"/>
      <c r="H150" s="82" t="n"/>
      <c r="I150" s="82" t="n"/>
      <c r="J150" s="93" t="n"/>
      <c r="K150" s="82" t="n"/>
      <c r="L150" s="82" t="n"/>
      <c r="M150" s="94" t="n"/>
      <c r="N150" s="21" t="n"/>
      <c r="O150" s="82" t="n"/>
      <c r="P150" s="85" t="n"/>
      <c r="Q150" s="85" t="n"/>
      <c r="R150" s="85" t="n"/>
      <c r="S150" s="21">
        <f>IF(OR(Q150="",R150=""),"",Q150*R150)</f>
        <v/>
      </c>
      <c r="T150" s="21">
        <f>IF(S150="","",INDEX(Settings!$A$20:$A$23,MATCH(S150,Settings!$B$20:$B$23,1)))</f>
        <v/>
      </c>
      <c r="U150" s="82" t="n"/>
      <c r="V150" s="86" t="n"/>
      <c r="W150" s="85" t="n"/>
      <c r="X150" s="82" t="n"/>
      <c r="Y150" s="95" t="n"/>
      <c r="Z150" s="95" t="n"/>
      <c r="AA150" s="95" t="n"/>
      <c r="AB150" s="95" t="n"/>
      <c r="AC150" s="95" t="n"/>
      <c r="AD150" s="95" t="n"/>
      <c r="AE150" s="95" t="n"/>
      <c r="AF150" s="95" t="n"/>
      <c r="AG150" s="95" t="n"/>
      <c r="AH150" s="95" t="n"/>
      <c r="AI150" s="95" t="n"/>
      <c r="AJ150" s="96" t="n"/>
      <c r="AK150" s="95" t="n"/>
      <c r="AL150" s="95" t="n"/>
      <c r="AM150" s="95" t="n"/>
      <c r="AN150" s="95" t="n"/>
      <c r="AO150" s="95" t="n"/>
      <c r="AP150" s="95" t="n"/>
      <c r="AQ150" s="96" t="n"/>
      <c r="AR150" s="96" t="n"/>
      <c r="AS150" s="85" t="n"/>
      <c r="AT150" s="85" t="n"/>
      <c r="AU150" s="21">
        <f>IF(OR(AS150="",AT150=""),"",AS150*AT150)</f>
        <v/>
      </c>
      <c r="AV150" s="21">
        <f>IF(AU150="","",INDEX(Settings!$A$20:$A$23,MATCH(AU150,Settings!$B$20:$B$23,1)))</f>
        <v/>
      </c>
      <c r="AW150" s="21">
        <f>IF(AV150&lt;&gt;"",AV150,T150)</f>
        <v/>
      </c>
      <c r="AX150" s="21">
        <f>IF(AW150="","",IF(MATCH(AW150,Settings!$A$20:$A$23,0)&lt;=MATCH(Settings!$C$28,Settings!$A$20:$A$23,0),"Yes","No"))</f>
        <v/>
      </c>
      <c r="AY150" s="81">
        <f>IF(AW150="","",IF(AX150="Yes",INDEX(Settings!$G$20:$G$23,MATCH(AW150,Settings!$A$20:$A$23,0)),INDEX(Settings!$G$20:$G$23,MATCH(AW150,Settings!$A$20:$A$23,0))&amp;" (outside appetite)"))</f>
        <v/>
      </c>
      <c r="AZ150" s="82" t="n"/>
      <c r="BA150" s="82" t="n"/>
      <c r="BB150" s="89" t="n"/>
      <c r="BC150" s="90">
        <f>IF(OR(BB150="",T150=""),"",BB150+INDEX(Settings!$E$20:$E$23,MATCH(T150,Settings!$A$20:$A$23,0)))</f>
        <v/>
      </c>
      <c r="BD150" s="89" t="n"/>
      <c r="BE150" s="82" t="n"/>
      <c r="BF150" s="81">
        <f>IF(A150="","",IF(OR(BE150="Closed",BE150="Accepted"),"No action",IF(BB150="","Set date identified",IF(TODAY()&gt;BC150,"Deadline exceeded",IF(BC150-TODAY()&lt;=Settings!$C$30,"Deadline approaching","On track")))))</f>
        <v/>
      </c>
      <c r="BG150" s="89" t="n"/>
      <c r="BH150" s="89" t="n"/>
      <c r="BI150" s="90">
        <f>IF(OR(BH150="",AW150=""),"",EDATE(BH150,INDEX(Settings!$F$20:$F$23,MATCH(AW150,Settings!$A$20:$A$23,0))))</f>
        <v/>
      </c>
      <c r="BJ150" s="21">
        <f>IF(T150="","",IF(MAX(IF(T150="",0,MATCH(T150,Settings!$A$20:$A$23,0)),IF(AV150="",0,MATCH(AV150,Settings!$A$20:$A$23,0)))&gt;=MATCH(Settings!$C$29,Settings!$A$20:$A$23,0),"Yes","No"))</f>
        <v/>
      </c>
      <c r="BK150" s="82" t="n"/>
      <c r="BL150" s="81">
        <f>IF(A150="","",IF(TRIM(IF(W150="","Treatment not chosen. ","")&amp;IF(AND(W150="Accept",AX150="No"),"Accepted outside appetite: record approval by "&amp;INDEX(Settings!$G$20:$G$23,MATCH(AW150,Settings!$A$20:$A$23,0))&amp;". ","")&amp;IF(AND(W150="Accept",BG150=""),"Acceptance expiry missing. ","")&amp;IF(AND(BG150&lt;&gt;"",BG150&lt;TODAY()),"Acceptance expired. ","")&amp;IF(AND(W150&lt;&gt;"",W150&lt;&gt;"Accept",AV150=""),"Target rating not set. ","")&amp;IF(AND(BE150="Closed",AX150="No"),"Closed while outside appetite. ","")&amp;IF(AND(W150="Transfer",BE150&lt;&gt;"Transferred",BE150&lt;&gt;"Closed"),"Transfer: record the contract, SLA and audit rights. ","")&amp;IF(AZ150="","Risk owner missing. ","")&amp;IF(K150="","Scenario not written. ",""))="","OK",TRIM(IF(W150="","Treatment not chosen. ","")&amp;IF(AND(W150="Accept",AX150="No"),"Accepted outside appetite: record approval by "&amp;INDEX(Settings!$G$20:$G$23,MATCH(AW150,Settings!$A$20:$A$23,0))&amp;". ","")&amp;IF(AND(W150="Accept",BG150=""),"Acceptance expiry missing. ","")&amp;IF(AND(BG150&lt;&gt;"",BG150&lt;TODAY()),"Acceptance expired. ","")&amp;IF(AND(W150&lt;&gt;"",W150&lt;&gt;"Accept",AV150=""),"Target rating not set. ","")&amp;IF(AND(BE150="Closed",AX150="No"),"Closed while outside appetite. ","")&amp;IF(AND(W150="Transfer",BE150&lt;&gt;"Transferred",BE150&lt;&gt;"Closed"),"Transfer: record the contract, SLA and audit rights. ","")&amp;IF(AZ150="","Risk owner missing. ","")&amp;IF(K150="","Scenario not written. ",""))))</f>
        <v/>
      </c>
      <c r="BM150" s="82" t="n"/>
    </row>
  </sheetData>
  <autoFilter ref="A4:BM150"/>
  <mergeCells count="6">
    <mergeCell ref="A3:N3"/>
    <mergeCell ref="O3:V3"/>
    <mergeCell ref="A2:N2"/>
    <mergeCell ref="W3:AR3"/>
    <mergeCell ref="AZ3:BM3"/>
    <mergeCell ref="AS3:AY3"/>
  </mergeCells>
  <conditionalFormatting sqref="T5:T150">
    <cfRule type="cellIs" priority="1" operator="equal" dxfId="5">
      <formula>"Low"</formula>
    </cfRule>
    <cfRule type="cellIs" priority="2" operator="equal" dxfId="6">
      <formula>"Medium"</formula>
    </cfRule>
    <cfRule type="cellIs" priority="3" operator="equal" dxfId="7">
      <formula>"High"</formula>
    </cfRule>
    <cfRule type="cellIs" priority="4" operator="equal" dxfId="8">
      <formula>"Critical"</formula>
    </cfRule>
  </conditionalFormatting>
  <conditionalFormatting sqref="AV5:AV150">
    <cfRule type="cellIs" priority="5" operator="equal" dxfId="5">
      <formula>"Low"</formula>
    </cfRule>
    <cfRule type="cellIs" priority="6" operator="equal" dxfId="6">
      <formula>"Medium"</formula>
    </cfRule>
    <cfRule type="cellIs" priority="7" operator="equal" dxfId="7">
      <formula>"High"</formula>
    </cfRule>
    <cfRule type="cellIs" priority="8" operator="equal" dxfId="8">
      <formula>"Critical"</formula>
    </cfRule>
  </conditionalFormatting>
  <conditionalFormatting sqref="AW5:AW150">
    <cfRule type="cellIs" priority="9" operator="equal" dxfId="5">
      <formula>"Low"</formula>
    </cfRule>
    <cfRule type="cellIs" priority="10" operator="equal" dxfId="6">
      <formula>"Medium"</formula>
    </cfRule>
    <cfRule type="cellIs" priority="11" operator="equal" dxfId="7">
      <formula>"High"</formula>
    </cfRule>
    <cfRule type="cellIs" priority="12" operator="equal" dxfId="8">
      <formula>"Critical"</formula>
    </cfRule>
  </conditionalFormatting>
  <conditionalFormatting sqref="AX5:AX150">
    <cfRule type="cellIs" priority="13" operator="equal" dxfId="0">
      <formula>"No"</formula>
    </cfRule>
    <cfRule type="cellIs" priority="76" operator="equal" dxfId="3">
      <formula>"Yes"</formula>
    </cfRule>
  </conditionalFormatting>
  <conditionalFormatting sqref="BJ5:BJ150">
    <cfRule type="cellIs" priority="14" operator="equal" dxfId="1">
      <formula>"Yes"</formula>
    </cfRule>
    <cfRule type="cellIs" priority="77" operator="equal" dxfId="9">
      <formula>"No"</formula>
    </cfRule>
  </conditionalFormatting>
  <conditionalFormatting sqref="N5:N150">
    <cfRule type="cellIs" priority="15" operator="equal" dxfId="10">
      <formula>"Applies"</formula>
    </cfRule>
    <cfRule type="cellIs" priority="78" operator="equal" dxfId="11">
      <formula>"Not triggered"</formula>
    </cfRule>
  </conditionalFormatting>
  <conditionalFormatting sqref="BF5:BF150">
    <cfRule type="cellIs" priority="16" operator="equal" dxfId="0">
      <formula>"Deadline exceeded"</formula>
    </cfRule>
    <cfRule type="cellIs" priority="17" operator="equal" dxfId="2">
      <formula>"Deadline approaching"</formula>
    </cfRule>
    <cfRule type="cellIs" priority="79" operator="equal" dxfId="3">
      <formula>"On track"</formula>
    </cfRule>
    <cfRule type="cellIs" priority="80" operator="equal" dxfId="12">
      <formula>"Set date identified"</formula>
    </cfRule>
  </conditionalFormatting>
  <conditionalFormatting sqref="BL5:BL150">
    <cfRule type="cellIs" priority="18" operator="equal" dxfId="3">
      <formula>"OK"</formula>
    </cfRule>
    <cfRule type="cellIs" priority="81" operator="notEqual" dxfId="12">
      <formula>"OK"</formula>
    </cfRule>
  </conditionalFormatting>
  <conditionalFormatting sqref="BA5:BD150">
    <cfRule type="expression" priority="19" dxfId="11">
      <formula>$W5="Accept"</formula>
    </cfRule>
  </conditionalFormatting>
  <conditionalFormatting sqref="Q5:Q150">
    <cfRule type="cellIs" priority="20" operator="equal" dxfId="5">
      <formula>1</formula>
    </cfRule>
    <cfRule type="cellIs" priority="21" operator="equal" dxfId="6">
      <formula>2</formula>
    </cfRule>
    <cfRule type="cellIs" priority="22" operator="equal" dxfId="7">
      <formula>3</formula>
    </cfRule>
    <cfRule type="cellIs" priority="23" operator="equal" dxfId="8">
      <formula>4</formula>
    </cfRule>
  </conditionalFormatting>
  <conditionalFormatting sqref="R5:R150">
    <cfRule type="cellIs" priority="24" operator="equal" dxfId="5">
      <formula>1</formula>
    </cfRule>
    <cfRule type="cellIs" priority="25" operator="equal" dxfId="6">
      <formula>2</formula>
    </cfRule>
    <cfRule type="cellIs" priority="26" operator="equal" dxfId="7">
      <formula>3</formula>
    </cfRule>
    <cfRule type="cellIs" priority="27" operator="equal" dxfId="8">
      <formula>4</formula>
    </cfRule>
  </conditionalFormatting>
  <conditionalFormatting sqref="AS5:AS150">
    <cfRule type="cellIs" priority="28" operator="equal" dxfId="5">
      <formula>1</formula>
    </cfRule>
    <cfRule type="cellIs" priority="29" operator="equal" dxfId="6">
      <formula>2</formula>
    </cfRule>
    <cfRule type="cellIs" priority="30" operator="equal" dxfId="7">
      <formula>3</formula>
    </cfRule>
    <cfRule type="cellIs" priority="31" operator="equal" dxfId="8">
      <formula>4</formula>
    </cfRule>
  </conditionalFormatting>
  <conditionalFormatting sqref="AT5:AT150">
    <cfRule type="cellIs" priority="32" operator="equal" dxfId="5">
      <formula>1</formula>
    </cfRule>
    <cfRule type="cellIs" priority="33" operator="equal" dxfId="6">
      <formula>2</formula>
    </cfRule>
    <cfRule type="cellIs" priority="34" operator="equal" dxfId="7">
      <formula>3</formula>
    </cfRule>
    <cfRule type="cellIs" priority="35" operator="equal" dxfId="8">
      <formula>4</formula>
    </cfRule>
  </conditionalFormatting>
  <conditionalFormatting sqref="S5:S150">
    <cfRule type="colorScale" priority="36">
      <colorScale>
        <cfvo type="num" val="1"/>
        <cfvo type="num" val="6"/>
        <cfvo type="num" val="16"/>
        <color rgb="0063BE7B"/>
        <color rgb="00FFEB84"/>
        <color rgb="00F8696B"/>
      </colorScale>
    </cfRule>
  </conditionalFormatting>
  <conditionalFormatting sqref="AU5:AU150">
    <cfRule type="colorScale" priority="37">
      <colorScale>
        <cfvo type="num" val="1"/>
        <cfvo type="num" val="6"/>
        <cfvo type="num" val="16"/>
        <color rgb="0063BE7B"/>
        <color rgb="00FFEB84"/>
        <color rgb="00F8696B"/>
      </colorScale>
    </cfRule>
  </conditionalFormatting>
  <conditionalFormatting sqref="BE5:BE150">
    <cfRule type="cellIs" priority="38" operator="equal" dxfId="13">
      <formula>"Open"</formula>
    </cfRule>
    <cfRule type="cellIs" priority="39" operator="equal" dxfId="14">
      <formula>"In progress"</formula>
    </cfRule>
    <cfRule type="cellIs" priority="40" operator="equal" dxfId="15">
      <formula>"Mitigated - verifying"</formula>
    </cfRule>
    <cfRule type="cellIs" priority="41" operator="equal" dxfId="16">
      <formula>"Transferred"</formula>
    </cfRule>
    <cfRule type="cellIs" priority="42" operator="equal" dxfId="10">
      <formula>"Accepted"</formula>
    </cfRule>
    <cfRule type="cellIs" priority="43" operator="equal" dxfId="17">
      <formula>"Closed"</formula>
    </cfRule>
  </conditionalFormatting>
  <conditionalFormatting sqref="W5:W150">
    <cfRule type="cellIs" priority="44" operator="equal" dxfId="15">
      <formula>"Mitigate"</formula>
    </cfRule>
    <cfRule type="cellIs" priority="45" operator="equal" dxfId="7">
      <formula>"Avoid"</formula>
    </cfRule>
    <cfRule type="cellIs" priority="46" operator="equal" dxfId="16">
      <formula>"Transfer"</formula>
    </cfRule>
    <cfRule type="cellIs" priority="47" operator="equal" dxfId="10">
      <formula>"Accept"</formula>
    </cfRule>
  </conditionalFormatting>
  <conditionalFormatting sqref="P5:P150">
    <cfRule type="cellIs" priority="48" operator="equal" dxfId="0">
      <formula>"None"</formula>
    </cfRule>
    <cfRule type="cellIs" priority="49" operator="equal" dxfId="1">
      <formula>"Weak"</formula>
    </cfRule>
    <cfRule type="cellIs" priority="50" operator="equal" dxfId="2">
      <formula>"Partial"</formula>
    </cfRule>
    <cfRule type="cellIs" priority="51" operator="equal" dxfId="3">
      <formula>"Effective"</formula>
    </cfRule>
  </conditionalFormatting>
  <conditionalFormatting sqref="C5:C150">
    <cfRule type="cellIs" priority="52" operator="equal" dxfId="18">
      <formula>"01"</formula>
    </cfRule>
    <cfRule type="cellIs" priority="53" operator="equal" dxfId="19">
      <formula>"02"</formula>
    </cfRule>
    <cfRule type="cellIs" priority="54" operator="equal" dxfId="20">
      <formula>"03"</formula>
    </cfRule>
    <cfRule type="cellIs" priority="55" operator="equal" dxfId="21">
      <formula>"04"</formula>
    </cfRule>
    <cfRule type="cellIs" priority="56" operator="equal" dxfId="13">
      <formula>"05"</formula>
    </cfRule>
    <cfRule type="cellIs" priority="57" operator="equal" dxfId="22">
      <formula>"06"</formula>
    </cfRule>
    <cfRule type="cellIs" priority="58" operator="equal" dxfId="23">
      <formula>"07"</formula>
    </cfRule>
    <cfRule type="cellIs" priority="59" operator="equal" dxfId="24">
      <formula>"08"</formula>
    </cfRule>
    <cfRule type="cellIs" priority="60" operator="equal" dxfId="7">
      <formula>"09"</formula>
    </cfRule>
    <cfRule type="cellIs" priority="61" operator="equal" dxfId="25">
      <formula>"10"</formula>
    </cfRule>
    <cfRule type="cellIs" priority="62" operator="equal" dxfId="14">
      <formula>"11"</formula>
    </cfRule>
    <cfRule type="cellIs" priority="63" operator="equal" dxfId="26">
      <formula>"12"</formula>
    </cfRule>
  </conditionalFormatting>
  <conditionalFormatting sqref="F5:F150">
    <cfRule type="cellIs" priority="64" operator="equal" dxfId="18">
      <formula>"01"</formula>
    </cfRule>
    <cfRule type="cellIs" priority="65" operator="equal" dxfId="19">
      <formula>"02"</formula>
    </cfRule>
    <cfRule type="cellIs" priority="66" operator="equal" dxfId="20">
      <formula>"03"</formula>
    </cfRule>
    <cfRule type="cellIs" priority="67" operator="equal" dxfId="21">
      <formula>"04"</formula>
    </cfRule>
    <cfRule type="cellIs" priority="68" operator="equal" dxfId="13">
      <formula>"05"</formula>
    </cfRule>
    <cfRule type="cellIs" priority="69" operator="equal" dxfId="22">
      <formula>"06"</formula>
    </cfRule>
    <cfRule type="cellIs" priority="70" operator="equal" dxfId="23">
      <formula>"07"</formula>
    </cfRule>
    <cfRule type="cellIs" priority="71" operator="equal" dxfId="24">
      <formula>"08"</formula>
    </cfRule>
    <cfRule type="cellIs" priority="72" operator="equal" dxfId="7">
      <formula>"09"</formula>
    </cfRule>
    <cfRule type="cellIs" priority="73" operator="equal" dxfId="25">
      <formula>"10"</formula>
    </cfRule>
    <cfRule type="cellIs" priority="74" operator="equal" dxfId="14">
      <formula>"11"</formula>
    </cfRule>
    <cfRule type="cellIs" priority="75" operator="equal" dxfId="26">
      <formula>"12"</formula>
    </cfRule>
  </conditionalFormatting>
  <dataValidations count="18">
    <dataValidation sqref="C5:C150" showDropDown="0" showInputMessage="0" showErrorMessage="0" allowBlank="1" type="list">
      <formula1>Lists!$A$2:$A$13</formula1>
    </dataValidation>
    <dataValidation sqref="F5:F150" showDropDown="0" showInputMessage="0" showErrorMessage="0" allowBlank="1" type="list">
      <formula1>Lists!$A$2:$A$13</formula1>
    </dataValidation>
    <dataValidation sqref="H5:H150" showDropDown="0" showInputMessage="0" showErrorMessage="0" allowBlank="1" type="list">
      <formula1>Lists!$B$2:$B$9</formula1>
    </dataValidation>
    <dataValidation sqref="I5:I150" showDropDown="0" showInputMessage="0" showErrorMessage="0" allowBlank="1" type="list">
      <formula1>Lists!$C$2:$C$17</formula1>
    </dataValidation>
    <dataValidation sqref="L5:L150" showDropDown="0" showInputMessage="0" showErrorMessage="0" allowBlank="1" type="list">
      <formula1>Lists!$D$2:$D$11</formula1>
    </dataValidation>
    <dataValidation sqref="P5:P150" showDropDown="0" showInputMessage="0" showErrorMessage="0" allowBlank="1" type="list">
      <formula1>Lists!$E$2:$E$5</formula1>
    </dataValidation>
    <dataValidation sqref="Q5:Q150" showDropDown="0" showInputMessage="0" showErrorMessage="0" allowBlank="1" type="list">
      <formula1>Lists!$L$2:$L$5</formula1>
    </dataValidation>
    <dataValidation sqref="R5:R150" showDropDown="0" showInputMessage="0" showErrorMessage="0" allowBlank="1" type="list">
      <formula1>Lists!$L$2:$L$5</formula1>
    </dataValidation>
    <dataValidation sqref="AS5:AS150" showDropDown="0" showInputMessage="0" showErrorMessage="0" allowBlank="1" type="list">
      <formula1>Lists!$L$2:$L$5</formula1>
    </dataValidation>
    <dataValidation sqref="AT5:AT150" showDropDown="0" showInputMessage="0" showErrorMessage="0" allowBlank="1" type="list">
      <formula1>Lists!$L$2:$L$5</formula1>
    </dataValidation>
    <dataValidation sqref="U5:U150" showDropDown="0" showInputMessage="0" showErrorMessage="0" allowBlank="1" type="list">
      <formula1>Lists!$F$2:$F$4</formula1>
    </dataValidation>
    <dataValidation sqref="W5:W150" showDropDown="0" showInputMessage="0" showErrorMessage="0" allowBlank="1" type="list">
      <formula1>Lists!$G$2:$G$5</formula1>
    </dataValidation>
    <dataValidation sqref="BE5:BE150" showDropDown="0" showInputMessage="0" showErrorMessage="0" allowBlank="1" type="list">
      <formula1>Lists!$H$2:$H$7</formula1>
    </dataValidation>
    <dataValidation sqref="AZ5:AZ150" showDropDown="0" showInputMessage="0" showErrorMessage="0" allowBlank="1" error="Value not in the list. Keep it if it is your organization's role name." type="list" errorStyle="warning">
      <formula1>Lists!$I$2:$I$25</formula1>
    </dataValidation>
    <dataValidation sqref="BB5:BB150" showDropDown="0" showInputMessage="0" showErrorMessage="0" allowBlank="1" error="Enter a date." type="date" operator="greaterThan">
      <formula1>DATE(2000,1,1)</formula1>
    </dataValidation>
    <dataValidation sqref="BD5:BD150" showDropDown="0" showInputMessage="0" showErrorMessage="0" allowBlank="1" error="Enter a date." type="date" operator="greaterThan">
      <formula1>DATE(2000,1,1)</formula1>
    </dataValidation>
    <dataValidation sqref="BG5:BG150" showDropDown="0" showInputMessage="0" showErrorMessage="0" allowBlank="1" error="Enter a date." type="date" operator="greaterThan">
      <formula1>DATE(2000,1,1)</formula1>
    </dataValidation>
    <dataValidation sqref="BH5:BH150" showDropDown="0" showInputMessage="0" showErrorMessage="0" allowBlank="1" error="Enter a date." type="date" operator="greaterThan">
      <formula1>DATE(2000,1,1)</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7F6000"/>
    <outlinePr summaryBelow="1" summaryRight="1"/>
    <pageSetUpPr/>
  </sheetPr>
  <dimension ref="A1:H86"/>
  <sheetViews>
    <sheetView showGridLines="0" workbookViewId="0">
      <pane ySplit="4" topLeftCell="A5" activePane="bottomLeft" state="frozen"/>
      <selection pane="bottomLeft" activeCell="A1" sqref="A1"/>
    </sheetView>
  </sheetViews>
  <sheetFormatPr baseColWidth="8" defaultRowHeight="15"/>
  <cols>
    <col width="8" customWidth="1" min="1" max="1"/>
    <col width="30" customWidth="1" min="2" max="2"/>
    <col width="30" customWidth="1" min="3" max="3"/>
    <col width="18" customWidth="1" min="4" max="4"/>
    <col width="90" customWidth="1" min="5" max="5"/>
  </cols>
  <sheetData>
    <row r="1" ht="30" customHeight="1">
      <c r="A1" s="97" t="inlineStr">
        <is>
          <t>How to fill the AI Risk Register</t>
        </is>
      </c>
      <c r="B1" s="98" t="n"/>
      <c r="C1" s="98" t="n"/>
      <c r="D1" s="98" t="n"/>
      <c r="E1" s="98" t="n"/>
      <c r="F1" s="98" t="n"/>
      <c r="G1" s="98" t="n"/>
      <c r="H1" s="98" t="n"/>
    </row>
    <row r="2">
      <c r="A2" s="3" t="inlineStr">
        <is>
          <t>One line per register column, in order.</t>
        </is>
      </c>
    </row>
    <row r="3"/>
    <row r="4">
      <c r="A4" s="99" t="inlineStr">
        <is>
          <t>Column</t>
        </is>
      </c>
      <c r="B4" s="99" t="inlineStr">
        <is>
          <t>Section</t>
        </is>
      </c>
      <c r="C4" s="99" t="inlineStr">
        <is>
          <t>Header</t>
        </is>
      </c>
      <c r="D4" s="99" t="inlineStr">
        <is>
          <t>Type</t>
        </is>
      </c>
      <c r="E4" s="99" t="inlineStr">
        <is>
          <t>What to enter / how it works</t>
        </is>
      </c>
    </row>
    <row r="5">
      <c r="A5" s="100" t="inlineStr">
        <is>
          <t>A</t>
        </is>
      </c>
      <c r="B5" s="6" t="inlineStr">
        <is>
          <t>Risk Identification</t>
        </is>
      </c>
      <c r="C5" s="5" t="inlineStr">
        <is>
          <t>Risk ID</t>
        </is>
      </c>
      <c r="D5" s="6" t="inlineStr">
        <is>
          <t>From wiki (editable)</t>
        </is>
      </c>
      <c r="E5" s="6" t="inlineStr">
        <is>
          <t>Unique ID. Keep AI-Rxx for library risks; use your own scheme (for example ORG-AI-001) for new rows.</t>
        </is>
      </c>
    </row>
    <row r="6">
      <c r="A6" s="101" t="inlineStr">
        <is>
          <t>B</t>
        </is>
      </c>
      <c r="B6" s="102" t="inlineStr">
        <is>
          <t>Risk Identification</t>
        </is>
      </c>
      <c r="C6" s="103" t="inlineStr">
        <is>
          <t>Risk Title</t>
        </is>
      </c>
      <c r="D6" s="102" t="inlineStr">
        <is>
          <t>From wiki (editable)</t>
        </is>
      </c>
      <c r="E6" s="102" t="inlineStr">
        <is>
          <t>Short name of the risk.</t>
        </is>
      </c>
    </row>
    <row r="7">
      <c r="A7" s="100" t="inlineStr">
        <is>
          <t>C</t>
        </is>
      </c>
      <c r="B7" s="6" t="inlineStr">
        <is>
          <t>Risk Identification</t>
        </is>
      </c>
      <c r="C7" s="5" t="inlineStr">
        <is>
          <t>Owner Domain</t>
        </is>
      </c>
      <c r="D7" s="82" t="inlineStr">
        <is>
          <t>Enter / choose</t>
        </is>
      </c>
      <c r="E7" s="6" t="inlineStr">
        <is>
          <t>Owner domain 01 to 12 (see Lists). Pre-filled from the wiki.</t>
        </is>
      </c>
    </row>
    <row r="8">
      <c r="A8" s="101" t="inlineStr">
        <is>
          <t>D</t>
        </is>
      </c>
      <c r="B8" s="102" t="inlineStr">
        <is>
          <t>Risk Identification</t>
        </is>
      </c>
      <c r="C8" s="103" t="inlineStr">
        <is>
          <t>Owner Domain Name</t>
        </is>
      </c>
      <c r="D8" s="81" t="inlineStr">
        <is>
          <t>Calculated</t>
        </is>
      </c>
      <c r="E8" s="102" t="inlineStr">
        <is>
          <t>Calculated from the domain code.</t>
        </is>
      </c>
    </row>
    <row r="9">
      <c r="A9" s="100" t="inlineStr">
        <is>
          <t>E</t>
        </is>
      </c>
      <c r="B9" s="6" t="inlineStr">
        <is>
          <t>Risk Identification</t>
        </is>
      </c>
      <c r="C9" s="5" t="inlineStr">
        <is>
          <t>Suggested Owner (wiki)</t>
        </is>
      </c>
      <c r="D9" s="81" t="inlineStr">
        <is>
          <t>Calculated</t>
        </is>
      </c>
      <c r="E9" s="6" t="inlineStr">
        <is>
          <t>The wiki's likely owner for that domain. A suggestion only.</t>
        </is>
      </c>
    </row>
    <row r="10">
      <c r="A10" s="101" t="inlineStr">
        <is>
          <t>F</t>
        </is>
      </c>
      <c r="B10" s="102" t="inlineStr">
        <is>
          <t>Risk Identification</t>
        </is>
      </c>
      <c r="C10" s="103" t="inlineStr">
        <is>
          <t>Second Owner Domain</t>
        </is>
      </c>
      <c r="D10" s="82" t="inlineStr">
        <is>
          <t>Enter / choose</t>
        </is>
      </c>
      <c r="E10" s="102" t="inlineStr">
        <is>
          <t>Only when two domains share the risk. Name one accountable owner anyway.</t>
        </is>
      </c>
    </row>
    <row r="11">
      <c r="A11" s="100" t="inlineStr">
        <is>
          <t>G</t>
        </is>
      </c>
      <c r="B11" s="6" t="inlineStr">
        <is>
          <t>Risk Identification</t>
        </is>
      </c>
      <c r="C11" s="5" t="inlineStr">
        <is>
          <t>AI System / Use Case</t>
        </is>
      </c>
      <c r="D11" s="82" t="inlineStr">
        <is>
          <t>Enter / choose</t>
        </is>
      </c>
      <c r="E11" s="6" t="inlineStr">
        <is>
          <t>The AI system or use case assessed. Copy the workbook per use case, or keep one enterprise-wide register.</t>
        </is>
      </c>
    </row>
    <row r="12">
      <c r="A12" s="101" t="inlineStr">
        <is>
          <t>H</t>
        </is>
      </c>
      <c r="B12" s="102" t="inlineStr">
        <is>
          <t>Risk Identification</t>
        </is>
      </c>
      <c r="C12" s="103" t="inlineStr">
        <is>
          <t>AI Channel</t>
        </is>
      </c>
      <c r="D12" s="82" t="inlineStr">
        <is>
          <t>Enter / choose</t>
        </is>
      </c>
      <c r="E12" s="102" t="inlineStr">
        <is>
          <t>How the AI reaches the organization (choose from the list).</t>
        </is>
      </c>
    </row>
    <row r="13">
      <c r="A13" s="100" t="inlineStr">
        <is>
          <t>I</t>
        </is>
      </c>
      <c r="B13" s="6" t="inlineStr">
        <is>
          <t>Risk Identification</t>
        </is>
      </c>
      <c r="C13" s="5" t="inlineStr">
        <is>
          <t>AI Asset Type</t>
        </is>
      </c>
      <c r="D13" s="82" t="inlineStr">
        <is>
          <t>Enter / choose</t>
        </is>
      </c>
      <c r="E13" s="6" t="inlineStr">
        <is>
          <t>The AI asset most exposed (replaces the source template's asset categories).</t>
        </is>
      </c>
    </row>
    <row r="14">
      <c r="A14" s="101" t="inlineStr">
        <is>
          <t>J</t>
        </is>
      </c>
      <c r="B14" s="102" t="inlineStr">
        <is>
          <t>Risk Identification</t>
        </is>
      </c>
      <c r="C14" s="103" t="inlineStr">
        <is>
          <t>Risk Description (wiki risk factor)</t>
        </is>
      </c>
      <c r="D14" s="102" t="inlineStr">
        <is>
          <t>From wiki (editable)</t>
        </is>
      </c>
      <c r="E14" s="102" t="inlineStr">
        <is>
          <t>The wiki's description of the risk factor.</t>
        </is>
      </c>
    </row>
    <row r="15">
      <c r="A15" s="100" t="inlineStr">
        <is>
          <t>K</t>
        </is>
      </c>
      <c r="B15" s="6" t="inlineStr">
        <is>
          <t>Risk Identification</t>
        </is>
      </c>
      <c r="C15" s="5" t="inlineStr">
        <is>
          <t>Risk Scenario for this system</t>
        </is>
      </c>
      <c r="D15" s="82" t="inlineStr">
        <is>
          <t>Enter / choose</t>
        </is>
      </c>
      <c r="E15" s="6" t="inlineStr">
        <is>
          <t>Write the scenario: what could happen, to which asset or people, through which path, with what consequence.</t>
        </is>
      </c>
    </row>
    <row r="16">
      <c r="A16" s="101" t="inlineStr">
        <is>
          <t>L</t>
        </is>
      </c>
      <c r="B16" s="102" t="inlineStr">
        <is>
          <t>Risk Identification</t>
        </is>
      </c>
      <c r="C16" s="103" t="inlineStr">
        <is>
          <t>Main Impact Type</t>
        </is>
      </c>
      <c r="D16" s="82" t="inlineStr">
        <is>
          <t>Enter / choose</t>
        </is>
      </c>
      <c r="E16" s="102" t="inlineStr">
        <is>
          <t>Main kind of impact. "Financial" and "Rights, safety or wellbeing of people" are workbook additions to the wiki list.</t>
        </is>
      </c>
    </row>
    <row r="17">
      <c r="A17" s="100" t="inlineStr">
        <is>
          <t>M</t>
        </is>
      </c>
      <c r="B17" s="6" t="inlineStr">
        <is>
          <t>Risk Identification</t>
        </is>
      </c>
      <c r="C17" s="5" t="inlineStr">
        <is>
          <t>Triage Questions</t>
        </is>
      </c>
      <c r="D17" s="6" t="inlineStr">
        <is>
          <t>From wiki (editable)</t>
        </is>
      </c>
      <c r="E17" s="6" t="inlineStr">
        <is>
          <t>Triage questions that switch this risk on.</t>
        </is>
      </c>
    </row>
    <row r="18">
      <c r="A18" s="101" t="inlineStr">
        <is>
          <t>N</t>
        </is>
      </c>
      <c r="B18" s="102" t="inlineStr">
        <is>
          <t>Risk Identification</t>
        </is>
      </c>
      <c r="C18" s="103" t="inlineStr">
        <is>
          <t>Triage Result</t>
        </is>
      </c>
      <c r="D18" s="81" t="inlineStr">
        <is>
          <t>Calculated</t>
        </is>
      </c>
      <c r="E18" s="102" t="inlineStr">
        <is>
          <t>Calculated from the Triage sheet: Applies, Not triggered or Not triaged.</t>
        </is>
      </c>
    </row>
    <row r="19">
      <c r="A19" s="100" t="inlineStr">
        <is>
          <t>O</t>
        </is>
      </c>
      <c r="B19" s="6" t="inlineStr">
        <is>
          <t>Current Risk Assessment (with existing controls)</t>
        </is>
      </c>
      <c r="C19" s="5" t="inlineStr">
        <is>
          <t>Existing Controls in Place</t>
        </is>
      </c>
      <c r="D19" s="82" t="inlineStr">
        <is>
          <t>Enter / choose</t>
        </is>
      </c>
      <c r="E19" s="6" t="inlineStr">
        <is>
          <t>Controls actually in place today, with AI-CTRL IDs where possible.</t>
        </is>
      </c>
    </row>
    <row r="20">
      <c r="A20" s="101" t="inlineStr">
        <is>
          <t>P</t>
        </is>
      </c>
      <c r="B20" s="102" t="inlineStr">
        <is>
          <t>Current Risk Assessment (with existing controls)</t>
        </is>
      </c>
      <c r="C20" s="103" t="inlineStr">
        <is>
          <t>Existing Control Coverage</t>
        </is>
      </c>
      <c r="D20" s="82" t="inlineStr">
        <is>
          <t>Enter / choose</t>
        </is>
      </c>
      <c r="E20" s="102" t="inlineStr">
        <is>
          <t>How well existing controls cover the risk (levels defined in Settings).</t>
        </is>
      </c>
    </row>
    <row r="21">
      <c r="A21" s="100" t="inlineStr">
        <is>
          <t>Q</t>
        </is>
      </c>
      <c r="B21" s="6" t="inlineStr">
        <is>
          <t>Current Risk Assessment (with existing controls)</t>
        </is>
      </c>
      <c r="C21" s="5" t="inlineStr">
        <is>
          <t>Current Likelihood (1-4)</t>
        </is>
      </c>
      <c r="D21" s="82" t="inlineStr">
        <is>
          <t>Enter / choose</t>
        </is>
      </c>
      <c r="E21" s="6" t="inlineStr">
        <is>
          <t>Likelihood 1-4 with existing controls (Settings). Pre-filled with the wiki example: re-score.</t>
        </is>
      </c>
    </row>
    <row r="22">
      <c r="A22" s="101" t="inlineStr">
        <is>
          <t>R</t>
        </is>
      </c>
      <c r="B22" s="102" t="inlineStr">
        <is>
          <t>Current Risk Assessment (with existing controls)</t>
        </is>
      </c>
      <c r="C22" s="103" t="inlineStr">
        <is>
          <t>Current Impact (1-4)</t>
        </is>
      </c>
      <c r="D22" s="82" t="inlineStr">
        <is>
          <t>Enter / choose</t>
        </is>
      </c>
      <c r="E22" s="102" t="inlineStr">
        <is>
          <t>Impact 1-4 (Settings). Pre-filled with the wiki example: re-score.</t>
        </is>
      </c>
    </row>
    <row r="23">
      <c r="A23" s="100" t="inlineStr">
        <is>
          <t>S</t>
        </is>
      </c>
      <c r="B23" s="6" t="inlineStr">
        <is>
          <t>Current Risk Assessment (with existing controls)</t>
        </is>
      </c>
      <c r="C23" s="5" t="inlineStr">
        <is>
          <t>Current Score</t>
        </is>
      </c>
      <c r="D23" s="81" t="inlineStr">
        <is>
          <t>Calculated</t>
        </is>
      </c>
      <c r="E23" s="6" t="inlineStr">
        <is>
          <t>Likelihood x impact.</t>
        </is>
      </c>
    </row>
    <row r="24">
      <c r="A24" s="101" t="inlineStr">
        <is>
          <t>T</t>
        </is>
      </c>
      <c r="B24" s="102" t="inlineStr">
        <is>
          <t>Current Risk Assessment (with existing controls)</t>
        </is>
      </c>
      <c r="C24" s="103" t="inlineStr">
        <is>
          <t>Current Rating</t>
        </is>
      </c>
      <c r="D24" s="81" t="inlineStr">
        <is>
          <t>Calculated</t>
        </is>
      </c>
      <c r="E24" s="102" t="inlineStr">
        <is>
          <t>Rating from the Settings bands.</t>
        </is>
      </c>
    </row>
    <row r="25">
      <c r="A25" s="100" t="inlineStr">
        <is>
          <t>U</t>
        </is>
      </c>
      <c r="B25" s="6" t="inlineStr">
        <is>
          <t>Current Risk Assessment (with existing controls)</t>
        </is>
      </c>
      <c r="C25" s="5" t="inlineStr">
        <is>
          <t>Assessment Approach</t>
        </is>
      </c>
      <c r="D25" s="82" t="inlineStr">
        <is>
          <t>Enter / choose</t>
        </is>
      </c>
      <c r="E25" s="6" t="inlineStr">
        <is>
          <t>Record which approach was used, as the wiki methodology asks.</t>
        </is>
      </c>
    </row>
    <row r="26">
      <c r="A26" s="101" t="inlineStr">
        <is>
          <t>V</t>
        </is>
      </c>
      <c r="B26" s="102" t="inlineStr">
        <is>
          <t>Current Risk Assessment (with existing controls)</t>
        </is>
      </c>
      <c r="C26" s="103" t="inlineStr">
        <is>
          <t>Estimated Annual Loss (optional)</t>
        </is>
      </c>
      <c r="D26" s="82" t="inlineStr">
        <is>
          <t>Enter / choose</t>
        </is>
      </c>
      <c r="E26" s="102" t="inlineStr">
        <is>
          <t>Only when quantified: estimated annual loss in your currency. Do not present it as more precise than its inputs.</t>
        </is>
      </c>
    </row>
    <row r="27">
      <c r="A27" s="100" t="inlineStr">
        <is>
          <t>W</t>
        </is>
      </c>
      <c r="B27" s="6" t="inlineStr">
        <is>
          <t>Risk Treatment and Control Mapping</t>
        </is>
      </c>
      <c r="C27" s="5" t="inlineStr">
        <is>
          <t>Treatment Decision</t>
        </is>
      </c>
      <c r="D27" s="82" t="inlineStr">
        <is>
          <t>Enter / choose</t>
        </is>
      </c>
      <c r="E27" s="6" t="inlineStr">
        <is>
          <t>Mitigate, Avoid, Transfer or Accept (wiki treatment options).</t>
        </is>
      </c>
    </row>
    <row r="28">
      <c r="A28" s="101" t="inlineStr">
        <is>
          <t>X</t>
        </is>
      </c>
      <c r="B28" s="102" t="inlineStr">
        <is>
          <t>Risk Treatment and Control Mapping</t>
        </is>
      </c>
      <c r="C28" s="103" t="inlineStr">
        <is>
          <t>Treatment Plan / Justification</t>
        </is>
      </c>
      <c r="D28" s="82" t="inlineStr">
        <is>
          <t>Enter / choose</t>
        </is>
      </c>
      <c r="E28" s="102" t="inlineStr">
        <is>
          <t>What will be done, by when, and why this option.</t>
        </is>
      </c>
    </row>
    <row r="29">
      <c r="A29" s="100" t="inlineStr">
        <is>
          <t>Y</t>
        </is>
      </c>
      <c r="B29" s="6" t="inlineStr">
        <is>
          <t>Risk Treatment and Control Mapping</t>
        </is>
      </c>
      <c r="C29" s="5" t="inlineStr">
        <is>
          <t>Mapped Controls (AI-CTRL)</t>
        </is>
      </c>
      <c r="D29" s="6" t="inlineStr">
        <is>
          <t>From wiki (editable)</t>
        </is>
      </c>
      <c r="E29" s="6" t="inlineStr">
        <is>
          <t>Wiki controls mapped to this risk.</t>
        </is>
      </c>
    </row>
    <row r="30">
      <c r="A30" s="101" t="inlineStr">
        <is>
          <t>Z</t>
        </is>
      </c>
      <c r="B30" s="102" t="inlineStr">
        <is>
          <t>Risk Treatment and Control Mapping</t>
        </is>
      </c>
      <c r="C30" s="103" t="inlineStr">
        <is>
          <t>Baseline-Tier Controls</t>
        </is>
      </c>
      <c r="D30" s="102" t="inlineStr">
        <is>
          <t>From wiki (editable)</t>
        </is>
      </c>
      <c r="E30" s="102" t="inlineStr">
        <is>
          <t>Mapped controls in the wiki's Baseline tier (do these first).</t>
        </is>
      </c>
    </row>
    <row r="31">
      <c r="A31" s="100" t="inlineStr">
        <is>
          <t>AA</t>
        </is>
      </c>
      <c r="B31" s="6" t="inlineStr">
        <is>
          <t>Risk Treatment and Control Mapping</t>
        </is>
      </c>
      <c r="C31" s="5" t="inlineStr">
        <is>
          <t>Primary Control Measures</t>
        </is>
      </c>
      <c r="D31" s="6" t="inlineStr">
        <is>
          <t>From wiki (editable)</t>
        </is>
      </c>
      <c r="E31" s="6" t="inlineStr">
        <is>
          <t>The wiki's summary of the control measures.</t>
        </is>
      </c>
    </row>
    <row r="32">
      <c r="A32" s="101" t="inlineStr">
        <is>
          <t>AB</t>
        </is>
      </c>
      <c r="B32" s="102" t="inlineStr">
        <is>
          <t>Risk Treatment and Control Mapping</t>
        </is>
      </c>
      <c r="C32" s="103" t="inlineStr">
        <is>
          <t>Evidence Required</t>
        </is>
      </c>
      <c r="D32" s="102" t="inlineStr">
        <is>
          <t>From wiki (editable)</t>
        </is>
      </c>
      <c r="E32" s="102" t="inlineStr">
        <is>
          <t>Evidence an auditor should see.</t>
        </is>
      </c>
    </row>
    <row r="33">
      <c r="A33" s="100" t="inlineStr">
        <is>
          <t>AC</t>
        </is>
      </c>
      <c r="B33" s="6" t="inlineStr">
        <is>
          <t>Risk Treatment and Control Mapping</t>
        </is>
      </c>
      <c r="C33" s="5" t="inlineStr">
        <is>
          <t>ISO/IEC 42001 Annex A</t>
        </is>
      </c>
      <c r="D33" s="6" t="inlineStr">
        <is>
          <t>From wiki (editable)</t>
        </is>
      </c>
      <c r="E33" s="6" t="inlineStr">
        <is>
          <t>ISO/IEC 42001 Annex A controls cited by the mapped wiki controls.</t>
        </is>
      </c>
    </row>
    <row r="34">
      <c r="A34" s="101" t="inlineStr">
        <is>
          <t>AD</t>
        </is>
      </c>
      <c r="B34" s="102" t="inlineStr">
        <is>
          <t>Risk Treatment and Control Mapping</t>
        </is>
      </c>
      <c r="C34" s="103" t="inlineStr">
        <is>
          <t>ISO/IEC 27001:2022 Annex A</t>
        </is>
      </c>
      <c r="D34" s="102" t="inlineStr">
        <is>
          <t>From wiki (editable)</t>
        </is>
      </c>
      <c r="E34" s="102" t="inlineStr">
        <is>
          <t>ISO/IEC 27001:2022 Annex A controls cited by the mapped wiki controls.</t>
        </is>
      </c>
    </row>
    <row r="35">
      <c r="A35" s="100" t="inlineStr">
        <is>
          <t>AE</t>
        </is>
      </c>
      <c r="B35" s="6" t="inlineStr">
        <is>
          <t>Risk Treatment and Control Mapping</t>
        </is>
      </c>
      <c r="C35" s="5" t="inlineStr">
        <is>
          <t>NIST AI RMF</t>
        </is>
      </c>
      <c r="D35" s="6" t="inlineStr">
        <is>
          <t>From wiki (editable)</t>
        </is>
      </c>
      <c r="E35" s="6" t="inlineStr">
        <is>
          <t>NIST AI RMF subcategories cited by the mapped wiki controls.</t>
        </is>
      </c>
    </row>
    <row r="36">
      <c r="A36" s="101" t="inlineStr">
        <is>
          <t>AF</t>
        </is>
      </c>
      <c r="B36" s="102" t="inlineStr">
        <is>
          <t>Risk Treatment and Control Mapping</t>
        </is>
      </c>
      <c r="C36" s="103" t="inlineStr">
        <is>
          <t>OWASP (LLM / Agentic)</t>
        </is>
      </c>
      <c r="D36" s="102" t="inlineStr">
        <is>
          <t>From wiki (editable)</t>
        </is>
      </c>
      <c r="E36" s="102" t="inlineStr">
        <is>
          <t>OWASP LLM 2025 and Agentic items cited by the mapped wiki controls.</t>
        </is>
      </c>
    </row>
    <row r="37">
      <c r="A37" s="100" t="inlineStr">
        <is>
          <t>AG</t>
        </is>
      </c>
      <c r="B37" s="6" t="inlineStr">
        <is>
          <t>Risk Treatment and Control Mapping</t>
        </is>
      </c>
      <c r="C37" s="5" t="inlineStr">
        <is>
          <t>MITRE ATLAS Techniques</t>
        </is>
      </c>
      <c r="D37" s="6" t="inlineStr">
        <is>
          <t>From wiki (editable)</t>
        </is>
      </c>
      <c r="E37" s="6" t="inlineStr">
        <is>
          <t>MITRE ATLAS techniques cited by the mapped wiki controls.</t>
        </is>
      </c>
    </row>
    <row r="38">
      <c r="A38" s="101" t="inlineStr">
        <is>
          <t>AH</t>
        </is>
      </c>
      <c r="B38" s="102" t="inlineStr">
        <is>
          <t>Risk Treatment and Control Mapping</t>
        </is>
      </c>
      <c r="C38" s="103" t="inlineStr">
        <is>
          <t>FINOS AIGF</t>
        </is>
      </c>
      <c r="D38" s="102" t="inlineStr">
        <is>
          <t>From wiki (editable)</t>
        </is>
      </c>
      <c r="E38" s="102" t="inlineStr">
        <is>
          <t>FINOS AI Governance Framework risk cross-reference from the wiki mapping.</t>
        </is>
      </c>
    </row>
    <row r="39">
      <c r="A39" s="100" t="inlineStr">
        <is>
          <t>AI</t>
        </is>
      </c>
      <c r="B39" s="6" t="inlineStr">
        <is>
          <t>Risk Treatment and Control Mapping</t>
        </is>
      </c>
      <c r="C39" s="5" t="inlineStr">
        <is>
          <t>NIST CSF</t>
        </is>
      </c>
      <c r="D39" s="6" t="inlineStr">
        <is>
          <t>From wiki (editable)</t>
        </is>
      </c>
      <c r="E39" s="6" t="inlineStr">
        <is>
          <t>NIST CSF categories cited by the mapped wiki controls.</t>
        </is>
      </c>
    </row>
    <row r="40">
      <c r="A40" s="101" t="inlineStr">
        <is>
          <t>AJ</t>
        </is>
      </c>
      <c r="B40" s="102" t="inlineStr">
        <is>
          <t>Risk Treatment and Control Mapping</t>
        </is>
      </c>
      <c r="C40" s="103" t="inlineStr">
        <is>
          <t>CIS Controls</t>
        </is>
      </c>
      <c r="D40" s="102" t="inlineStr">
        <is>
          <t>From wiki (editable)</t>
        </is>
      </c>
      <c r="E40" s="102" t="inlineStr">
        <is>
          <t>CIS Controls cited by the mapped wiki controls.</t>
        </is>
      </c>
    </row>
    <row r="41">
      <c r="A41" s="100" t="inlineStr">
        <is>
          <t>AK</t>
        </is>
      </c>
      <c r="B41" s="6" t="inlineStr">
        <is>
          <t>Risk Treatment and Control Mapping</t>
        </is>
      </c>
      <c r="C41" s="5" t="inlineStr">
        <is>
          <t>SOC 2</t>
        </is>
      </c>
      <c r="D41" s="6" t="inlineStr">
        <is>
          <t>From wiki (editable)</t>
        </is>
      </c>
      <c r="E41" s="6" t="inlineStr">
        <is>
          <t>SOC 2 criteria cited by the mapped wiki controls.</t>
        </is>
      </c>
    </row>
    <row r="42">
      <c r="A42" s="101" t="inlineStr">
        <is>
          <t>AL</t>
        </is>
      </c>
      <c r="B42" s="102" t="inlineStr">
        <is>
          <t>Risk Treatment and Control Mapping</t>
        </is>
      </c>
      <c r="C42" s="103" t="inlineStr">
        <is>
          <t>NIST AI 600-1</t>
        </is>
      </c>
      <c r="D42" s="102" t="inlineStr">
        <is>
          <t>From wiki (editable)</t>
        </is>
      </c>
      <c r="E42" s="102" t="inlineStr">
        <is>
          <t>NIST AI 600-1 risks the wiki maps directly to this risk.</t>
        </is>
      </c>
    </row>
    <row r="43">
      <c r="A43" s="100" t="inlineStr">
        <is>
          <t>AM</t>
        </is>
      </c>
      <c r="B43" s="6" t="inlineStr">
        <is>
          <t>Risk Treatment and Control Mapping</t>
        </is>
      </c>
      <c r="C43" s="5" t="inlineStr">
        <is>
          <t>AI Risk Map v1.3</t>
        </is>
      </c>
      <c r="D43" s="6" t="inlineStr">
        <is>
          <t>From wiki (editable)</t>
        </is>
      </c>
      <c r="E43" s="6" t="inlineStr">
        <is>
          <t>AI Risk Map categories the wiki maps directly to this risk.</t>
        </is>
      </c>
    </row>
    <row r="44">
      <c r="A44" s="101" t="inlineStr">
        <is>
          <t>AN</t>
        </is>
      </c>
      <c r="B44" s="102" t="inlineStr">
        <is>
          <t>Risk Treatment and Control Mapping</t>
        </is>
      </c>
      <c r="C44" s="103" t="inlineStr">
        <is>
          <t>OWASP MCP Top 10</t>
        </is>
      </c>
      <c r="D44" s="102" t="inlineStr">
        <is>
          <t>From wiki (editable)</t>
        </is>
      </c>
      <c r="E44" s="102" t="inlineStr">
        <is>
          <t>OWASP MCP Top 10 items the wiki maps directly to this risk.</t>
        </is>
      </c>
    </row>
    <row r="45">
      <c r="A45" s="100" t="inlineStr">
        <is>
          <t>AO</t>
        </is>
      </c>
      <c r="B45" s="6" t="inlineStr">
        <is>
          <t>Risk Treatment and Control Mapping</t>
        </is>
      </c>
      <c r="C45" s="5" t="inlineStr">
        <is>
          <t>Ethics, Principles and International Instruments</t>
        </is>
      </c>
      <c r="D45" s="6" t="inlineStr">
        <is>
          <t>From wiki (editable)</t>
        </is>
      </c>
      <c r="E45" s="6" t="inlineStr">
        <is>
          <t>OECD, EU Ethics Guidelines, UNESCO, IEEE 7000-series, Council of Europe Convention and G7 Code items linked via the mapped controls.</t>
        </is>
      </c>
    </row>
    <row r="46">
      <c r="A46" s="101" t="inlineStr">
        <is>
          <t>AP</t>
        </is>
      </c>
      <c r="B46" s="102" t="inlineStr">
        <is>
          <t>Risk Treatment and Control Mapping</t>
        </is>
      </c>
      <c r="C46" s="103" t="inlineStr">
        <is>
          <t>Regulations Linked (IDs, via controls)</t>
        </is>
      </c>
      <c r="D46" s="102" t="inlineStr">
        <is>
          <t>From wiki (editable)</t>
        </is>
      </c>
      <c r="E46" s="102" t="inlineStr">
        <is>
          <t>Regional regulatory crosswalk IDs linked via the mapped controls (see the Regulatory Crosswalk sheet for the instrument and its verification tag).</t>
        </is>
      </c>
    </row>
    <row r="47">
      <c r="A47" s="100" t="inlineStr">
        <is>
          <t>AQ</t>
        </is>
      </c>
      <c r="B47" s="6" t="inlineStr">
        <is>
          <t>Risk Treatment and Control Mapping</t>
        </is>
      </c>
      <c r="C47" s="5" t="inlineStr">
        <is>
          <t>Framework Items Linked (all crosswalks)</t>
        </is>
      </c>
      <c r="D47" s="6" t="inlineStr">
        <is>
          <t>From wiki (editable)</t>
        </is>
      </c>
      <c r="E47" s="6" t="inlineStr">
        <is>
          <t>Total framework items linked across all crosswalks (see the Framework Matrix sheet).</t>
        </is>
      </c>
    </row>
    <row r="48">
      <c r="A48" s="101" t="inlineStr">
        <is>
          <t>AR</t>
        </is>
      </c>
      <c r="B48" s="102" t="inlineStr">
        <is>
          <t>Risk Treatment and Control Mapping</t>
        </is>
      </c>
      <c r="C48" s="103" t="inlineStr">
        <is>
          <t>Test Cases (wiki count)</t>
        </is>
      </c>
      <c r="D48" s="102" t="inlineStr">
        <is>
          <t>From wiki (editable)</t>
        </is>
      </c>
      <c r="E48" s="102" t="inlineStr">
        <is>
          <t>Number of wiki test cases under the mapped controls.</t>
        </is>
      </c>
    </row>
    <row r="49">
      <c r="A49" s="100" t="inlineStr">
        <is>
          <t>AS</t>
        </is>
      </c>
      <c r="B49" s="6" t="inlineStr">
        <is>
          <t>Values After Planned Treatment</t>
        </is>
      </c>
      <c r="C49" s="5" t="inlineStr">
        <is>
          <t>Target Likelihood (1-4)</t>
        </is>
      </c>
      <c r="D49" s="82" t="inlineStr">
        <is>
          <t>Enter / choose</t>
        </is>
      </c>
      <c r="E49" s="6" t="inlineStr">
        <is>
          <t>Expected likelihood after treatment.</t>
        </is>
      </c>
    </row>
    <row r="50">
      <c r="A50" s="101" t="inlineStr">
        <is>
          <t>AT</t>
        </is>
      </c>
      <c r="B50" s="102" t="inlineStr">
        <is>
          <t>Values After Planned Treatment</t>
        </is>
      </c>
      <c r="C50" s="103" t="inlineStr">
        <is>
          <t>Target Impact (1-4)</t>
        </is>
      </c>
      <c r="D50" s="82" t="inlineStr">
        <is>
          <t>Enter / choose</t>
        </is>
      </c>
      <c r="E50" s="102" t="inlineStr">
        <is>
          <t>Expected impact after treatment.</t>
        </is>
      </c>
    </row>
    <row r="51">
      <c r="A51" s="100" t="inlineStr">
        <is>
          <t>AU</t>
        </is>
      </c>
      <c r="B51" s="6" t="inlineStr">
        <is>
          <t>Values After Planned Treatment</t>
        </is>
      </c>
      <c r="C51" s="5" t="inlineStr">
        <is>
          <t>Target Score</t>
        </is>
      </c>
      <c r="D51" s="81" t="inlineStr">
        <is>
          <t>Calculated</t>
        </is>
      </c>
      <c r="E51" s="6" t="inlineStr">
        <is>
          <t>Target likelihood x target impact.</t>
        </is>
      </c>
    </row>
    <row r="52">
      <c r="A52" s="101" t="inlineStr">
        <is>
          <t>AV</t>
        </is>
      </c>
      <c r="B52" s="102" t="inlineStr">
        <is>
          <t>Values After Planned Treatment</t>
        </is>
      </c>
      <c r="C52" s="103" t="inlineStr">
        <is>
          <t>Target Rating</t>
        </is>
      </c>
      <c r="D52" s="81" t="inlineStr">
        <is>
          <t>Calculated</t>
        </is>
      </c>
      <c r="E52" s="102" t="inlineStr">
        <is>
          <t>Target rating.</t>
        </is>
      </c>
    </row>
    <row r="53">
      <c r="A53" s="100" t="inlineStr">
        <is>
          <t>AW</t>
        </is>
      </c>
      <c r="B53" s="6" t="inlineStr">
        <is>
          <t>Values After Planned Treatment</t>
        </is>
      </c>
      <c r="C53" s="5" t="inlineStr">
        <is>
          <t>Residual Rating Used</t>
        </is>
      </c>
      <c r="D53" s="81" t="inlineStr">
        <is>
          <t>Calculated</t>
        </is>
      </c>
      <c r="E53" s="6" t="inlineStr">
        <is>
          <t>Target rating if set, otherwise current rating.</t>
        </is>
      </c>
    </row>
    <row r="54">
      <c r="A54" s="101" t="inlineStr">
        <is>
          <t>AX</t>
        </is>
      </c>
      <c r="B54" s="102" t="inlineStr">
        <is>
          <t>Values After Planned Treatment</t>
        </is>
      </c>
      <c r="C54" s="103" t="inlineStr">
        <is>
          <t>Within Appetite?</t>
        </is>
      </c>
      <c r="D54" s="81" t="inlineStr">
        <is>
          <t>Calculated</t>
        </is>
      </c>
      <c r="E54" s="102" t="inlineStr">
        <is>
          <t>Yes if the residual rating is at or below the appetite in Settings.</t>
        </is>
      </c>
    </row>
    <row r="55">
      <c r="A55" s="100" t="inlineStr">
        <is>
          <t>AY</t>
        </is>
      </c>
      <c r="B55" s="6" t="inlineStr">
        <is>
          <t>Values After Planned Treatment</t>
        </is>
      </c>
      <c r="C55" s="5" t="inlineStr">
        <is>
          <t>Acceptance Authority</t>
        </is>
      </c>
      <c r="D55" s="81" t="inlineStr">
        <is>
          <t>Calculated</t>
        </is>
      </c>
      <c r="E55" s="6" t="inlineStr">
        <is>
          <t>Who may accept the residual rating (Settings).</t>
        </is>
      </c>
    </row>
    <row r="56">
      <c r="A56" s="101" t="inlineStr">
        <is>
          <t>AZ</t>
        </is>
      </c>
      <c r="B56" s="102" t="inlineStr">
        <is>
          <t>Ownership, Mitigation and Tracking</t>
        </is>
      </c>
      <c r="C56" s="103" t="inlineStr">
        <is>
          <t>Risk Owner (accountable)</t>
        </is>
      </c>
      <c r="D56" s="82" t="inlineStr">
        <is>
          <t>Enter / choose</t>
        </is>
      </c>
      <c r="E56" s="102" t="inlineStr">
        <is>
          <t>The person or role accountable for the risk (list allows your own entries).</t>
        </is>
      </c>
    </row>
    <row r="57">
      <c r="A57" s="100" t="inlineStr">
        <is>
          <t>BA</t>
        </is>
      </c>
      <c r="B57" s="6" t="inlineStr">
        <is>
          <t>Ownership, Mitigation and Tracking</t>
        </is>
      </c>
      <c r="C57" s="5" t="inlineStr">
        <is>
          <t>Implementation Owner</t>
        </is>
      </c>
      <c r="D57" s="82" t="inlineStr">
        <is>
          <t>Enter / choose</t>
        </is>
      </c>
      <c r="E57" s="6" t="inlineStr">
        <is>
          <t>Who implements the treatment.</t>
        </is>
      </c>
    </row>
    <row r="58">
      <c r="A58" s="101" t="inlineStr">
        <is>
          <t>BB</t>
        </is>
      </c>
      <c r="B58" s="102" t="inlineStr">
        <is>
          <t>Ownership, Mitigation and Tracking</t>
        </is>
      </c>
      <c r="C58" s="103" t="inlineStr">
        <is>
          <t>Date Identified</t>
        </is>
      </c>
      <c r="D58" s="82" t="inlineStr">
        <is>
          <t>Enter / choose</t>
        </is>
      </c>
      <c r="E58" s="102" t="inlineStr">
        <is>
          <t>Date the risk was identified.</t>
        </is>
      </c>
    </row>
    <row r="59">
      <c r="A59" s="100" t="inlineStr">
        <is>
          <t>BC</t>
        </is>
      </c>
      <c r="B59" s="6" t="inlineStr">
        <is>
          <t>Ownership, Mitigation and Tracking</t>
        </is>
      </c>
      <c r="C59" s="5" t="inlineStr">
        <is>
          <t>Mitigation Deadline</t>
        </is>
      </c>
      <c r="D59" s="81" t="inlineStr">
        <is>
          <t>Calculated</t>
        </is>
      </c>
      <c r="E59" s="6" t="inlineStr">
        <is>
          <t>Date identified + days allowed for the current rating (Settings).</t>
        </is>
      </c>
    </row>
    <row r="60">
      <c r="A60" s="101" t="inlineStr">
        <is>
          <t>BD</t>
        </is>
      </c>
      <c r="B60" s="102" t="inlineStr">
        <is>
          <t>Ownership, Mitigation and Tracking</t>
        </is>
      </c>
      <c r="C60" s="103" t="inlineStr">
        <is>
          <t>Target Implementation Date</t>
        </is>
      </c>
      <c r="D60" s="82" t="inlineStr">
        <is>
          <t>Enter / choose</t>
        </is>
      </c>
      <c r="E60" s="102" t="inlineStr">
        <is>
          <t>Planned date. If later than the deadline, get an acceptance with an expiry date.</t>
        </is>
      </c>
    </row>
    <row r="61">
      <c r="A61" s="100" t="inlineStr">
        <is>
          <t>BE</t>
        </is>
      </c>
      <c r="B61" s="6" t="inlineStr">
        <is>
          <t>Ownership, Mitigation and Tracking</t>
        </is>
      </c>
      <c r="C61" s="5" t="inlineStr">
        <is>
          <t>Status</t>
        </is>
      </c>
      <c r="D61" s="82" t="inlineStr">
        <is>
          <t>Enter / choose</t>
        </is>
      </c>
      <c r="E61" s="6" t="inlineStr">
        <is>
          <t>Open, In progress, Mitigated - verifying, Transferred, Accepted or Closed.</t>
        </is>
      </c>
    </row>
    <row r="62">
      <c r="A62" s="101" t="inlineStr">
        <is>
          <t>BF</t>
        </is>
      </c>
      <c r="B62" s="102" t="inlineStr">
        <is>
          <t>Ownership, Mitigation and Tracking</t>
        </is>
      </c>
      <c r="C62" s="103" t="inlineStr">
        <is>
          <t>Deadline Alert</t>
        </is>
      </c>
      <c r="D62" s="81" t="inlineStr">
        <is>
          <t>Calculated</t>
        </is>
      </c>
      <c r="E62" s="102" t="inlineStr">
        <is>
          <t>Calculated: Deadline exceeded, Deadline approaching, On track, No action, or Set date identified.</t>
        </is>
      </c>
    </row>
    <row r="63">
      <c r="A63" s="100" t="inlineStr">
        <is>
          <t>BG</t>
        </is>
      </c>
      <c r="B63" s="6" t="inlineStr">
        <is>
          <t>Ownership, Mitigation and Tracking</t>
        </is>
      </c>
      <c r="C63" s="5" t="inlineStr">
        <is>
          <t>Acceptance Expiry</t>
        </is>
      </c>
      <c r="D63" s="82" t="inlineStr">
        <is>
          <t>Enter / choose</t>
        </is>
      </c>
      <c r="E63" s="6" t="inlineStr">
        <is>
          <t>Expiry of a risk acceptance or exception (required for Accept).</t>
        </is>
      </c>
    </row>
    <row r="64">
      <c r="A64" s="101" t="inlineStr">
        <is>
          <t>BH</t>
        </is>
      </c>
      <c r="B64" s="102" t="inlineStr">
        <is>
          <t>Ownership, Mitigation and Tracking</t>
        </is>
      </c>
      <c r="C64" s="103" t="inlineStr">
        <is>
          <t>Last Review Date</t>
        </is>
      </c>
      <c r="D64" s="82" t="inlineStr">
        <is>
          <t>Enter / choose</t>
        </is>
      </c>
      <c r="E64" s="102" t="inlineStr">
        <is>
          <t>Date of the last review.</t>
        </is>
      </c>
    </row>
    <row r="65">
      <c r="A65" s="100" t="inlineStr">
        <is>
          <t>BI</t>
        </is>
      </c>
      <c r="B65" s="6" t="inlineStr">
        <is>
          <t>Ownership, Mitigation and Tracking</t>
        </is>
      </c>
      <c r="C65" s="5" t="inlineStr">
        <is>
          <t>Next Review Due</t>
        </is>
      </c>
      <c r="D65" s="81" t="inlineStr">
        <is>
          <t>Calculated</t>
        </is>
      </c>
      <c r="E65" s="6" t="inlineStr">
        <is>
          <t>Last review + review interval for the residual rating (Settings).</t>
        </is>
      </c>
    </row>
    <row r="66">
      <c r="A66" s="101" t="inlineStr">
        <is>
          <t>BJ</t>
        </is>
      </c>
      <c r="B66" s="102" t="inlineStr">
        <is>
          <t>Ownership, Mitigation and Tracking</t>
        </is>
      </c>
      <c r="C66" s="103" t="inlineStr">
        <is>
          <t>Report to AI Governance Committee?</t>
        </is>
      </c>
      <c r="D66" s="81" t="inlineStr">
        <is>
          <t>Calculated</t>
        </is>
      </c>
      <c r="E66" s="102" t="inlineStr">
        <is>
          <t>Yes when current or target rating reaches the escalation level in Settings.</t>
        </is>
      </c>
    </row>
    <row r="67">
      <c r="A67" s="100" t="inlineStr">
        <is>
          <t>BK</t>
        </is>
      </c>
      <c r="B67" s="6" t="inlineStr">
        <is>
          <t>Ownership, Mitigation and Tracking</t>
        </is>
      </c>
      <c r="C67" s="5" t="inlineStr">
        <is>
          <t>Consulted (who, what changed)</t>
        </is>
      </c>
      <c r="D67" s="82" t="inlineStr">
        <is>
          <t>Enter / choose</t>
        </is>
      </c>
      <c r="E67" s="6" t="inlineStr">
        <is>
          <t>Who was consulted and what changed as a result.</t>
        </is>
      </c>
    </row>
    <row r="68">
      <c r="A68" s="101" t="inlineStr">
        <is>
          <t>BL</t>
        </is>
      </c>
      <c r="B68" s="102" t="inlineStr">
        <is>
          <t>Ownership, Mitigation and Tracking</t>
        </is>
      </c>
      <c r="C68" s="103" t="inlineStr">
        <is>
          <t>Record Check</t>
        </is>
      </c>
      <c r="D68" s="81" t="inlineStr">
        <is>
          <t>Calculated</t>
        </is>
      </c>
      <c r="E68" s="102" t="inlineStr">
        <is>
          <t>Calculated list of missing or inconsistent fields; "OK" when complete.</t>
        </is>
      </c>
    </row>
    <row r="69">
      <c r="A69" s="100" t="inlineStr">
        <is>
          <t>BM</t>
        </is>
      </c>
      <c r="B69" s="6" t="inlineStr">
        <is>
          <t>Ownership, Mitigation and Tracking</t>
        </is>
      </c>
      <c r="C69" s="5" t="inlineStr">
        <is>
          <t>Notes</t>
        </is>
      </c>
      <c r="D69" s="82" t="inlineStr">
        <is>
          <t>Enter / choose</t>
        </is>
      </c>
      <c r="E69" s="6" t="inlineStr">
        <is>
          <t>Anything else. Pre-filled with the wiki's example ratings for comparison.</t>
        </is>
      </c>
    </row>
    <row r="70"/>
    <row r="71">
      <c r="A71" s="104" t="inlineStr">
        <is>
          <t>Worked example (illustrative only, not a real assessment)</t>
        </is>
      </c>
      <c r="B71" s="98" t="n"/>
      <c r="C71" s="98" t="n"/>
      <c r="D71" s="98" t="n"/>
      <c r="E71" s="98" t="n"/>
      <c r="F71" s="98" t="n"/>
      <c r="G71" s="98" t="n"/>
      <c r="H71" s="98" t="n"/>
    </row>
    <row r="72">
      <c r="C72" s="103" t="inlineStr">
        <is>
          <t>Risk ID</t>
        </is>
      </c>
      <c r="E72" s="82" t="inlineStr">
        <is>
          <t>AI-R05</t>
        </is>
      </c>
    </row>
    <row r="73">
      <c r="C73" s="5" t="inlineStr">
        <is>
          <t>AI System / Use Case</t>
        </is>
      </c>
      <c r="E73" s="82" t="inlineStr">
        <is>
          <t>Customer support assistant answering from public help-centre articles (RAG)</t>
        </is>
      </c>
    </row>
    <row r="74">
      <c r="C74" s="103" t="inlineStr">
        <is>
          <t>AI Channel</t>
        </is>
      </c>
      <c r="E74" s="82" t="inlineStr">
        <is>
          <t>Custom AI applications (incl. RAG)</t>
        </is>
      </c>
    </row>
    <row r="75">
      <c r="C75" s="5" t="inlineStr">
        <is>
          <t>AI Asset Type</t>
        </is>
      </c>
      <c r="E75" s="82" t="inlineStr">
        <is>
          <t>Custom AI application</t>
        </is>
      </c>
    </row>
    <row r="76">
      <c r="C76" s="103" t="inlineStr">
        <is>
          <t>Risk Scenario</t>
        </is>
      </c>
      <c r="E76" s="82" t="inlineStr">
        <is>
          <t>An attacker plants instructions in a support ticket the assistant reads; the assistant reveals other customers' order details from its retrieval results.</t>
        </is>
      </c>
    </row>
    <row r="77">
      <c r="C77" s="5" t="inlineStr">
        <is>
          <t>Main Impact Type</t>
        </is>
      </c>
      <c r="E77" s="82" t="inlineStr">
        <is>
          <t>Confidentiality</t>
        </is>
      </c>
    </row>
    <row r="78">
      <c r="C78" s="103" t="inlineStr">
        <is>
          <t>Existing Controls in Place</t>
        </is>
      </c>
      <c r="E78" s="82" t="inlineStr">
        <is>
          <t>Input filter (AI-CTRL-005), retrieval limited to public articles (AI-CTRL-018). No adversarial testing yet.</t>
        </is>
      </c>
    </row>
    <row r="79">
      <c r="C79" s="5" t="inlineStr">
        <is>
          <t>Existing Control Coverage</t>
        </is>
      </c>
      <c r="E79" s="82" t="inlineStr">
        <is>
          <t>Weak</t>
        </is>
      </c>
    </row>
    <row r="80">
      <c r="C80" s="103" t="inlineStr">
        <is>
          <t>Current Likelihood / Impact</t>
        </is>
      </c>
      <c r="E80" s="82" t="inlineStr">
        <is>
          <t>3 / 3, giving score 9, rating High (default bands)</t>
        </is>
      </c>
    </row>
    <row r="81">
      <c r="C81" s="5" t="inlineStr">
        <is>
          <t>Treatment Decision</t>
        </is>
      </c>
      <c r="E81" s="82" t="inlineStr">
        <is>
          <t>Mitigate</t>
        </is>
      </c>
    </row>
    <row r="82">
      <c r="C82" s="103" t="inlineStr">
        <is>
          <t>Treatment Plan</t>
        </is>
      </c>
      <c r="E82" s="82" t="inlineStr">
        <is>
          <t>Add output inspection (AI-CTRL-020) and adversarial testing (AI-CTRL-034) before go-live; remove ticket history from the retrieval scope.</t>
        </is>
      </c>
    </row>
    <row r="83">
      <c r="C83" s="5" t="inlineStr">
        <is>
          <t>Target Likelihood / Impact</t>
        </is>
      </c>
      <c r="E83" s="82" t="inlineStr">
        <is>
          <t>2 / 2, giving score 4, rating Medium: within appetite</t>
        </is>
      </c>
    </row>
    <row r="84">
      <c r="C84" s="103" t="inlineStr">
        <is>
          <t>Risk Owner</t>
        </is>
      </c>
      <c r="E84" s="82" t="inlineStr">
        <is>
          <t>AI Product Owner</t>
        </is>
      </c>
    </row>
    <row r="85">
      <c r="C85" s="5" t="inlineStr">
        <is>
          <t>Date Identified</t>
        </is>
      </c>
      <c r="E85" s="82" t="inlineStr">
        <is>
          <t>01-Oct-2026, giving a High deadline of 30-Dec-2026 (90 days)</t>
        </is>
      </c>
    </row>
    <row r="86">
      <c r="C86" s="103" t="inlineStr">
        <is>
          <t>Status</t>
        </is>
      </c>
      <c r="E86" s="82" t="inlineStr">
        <is>
          <t>In progress</t>
        </is>
      </c>
    </row>
  </sheetData>
  <pageMargins left="0.75" right="0.75" top="1" bottom="1" header="0.5" footer="0.5"/>
</worksheet>
</file>

<file path=xl/worksheets/sheet6.xml><?xml version="1.0" encoding="utf-8"?>
<worksheet xmlns="http://schemas.openxmlformats.org/spreadsheetml/2006/main">
  <sheetPr>
    <tabColor rgb="007030A0"/>
    <outlinePr summaryBelow="1" summaryRight="1"/>
    <pageSetUpPr/>
  </sheetPr>
  <dimension ref="A1:H53"/>
  <sheetViews>
    <sheetView showGridLines="0" workbookViewId="0">
      <pane ySplit="5" topLeftCell="A6" activePane="bottomLeft" state="frozen"/>
      <selection pane="bottomLeft" activeCell="A1" sqref="A1"/>
    </sheetView>
  </sheetViews>
  <sheetFormatPr baseColWidth="8" defaultRowHeight="15"/>
  <cols>
    <col width="7" customWidth="1" min="1" max="1"/>
    <col width="30" customWidth="1" min="2" max="2"/>
    <col width="80" customWidth="1" min="3" max="3"/>
    <col width="26" customWidth="1" min="4" max="4"/>
    <col width="16" customWidth="1" min="5" max="5"/>
  </cols>
  <sheetData>
    <row r="1" ht="30" customHeight="1">
      <c r="A1" s="105" t="inlineStr">
        <is>
          <t>AI use-case triage: which register risks apply</t>
        </is>
      </c>
      <c r="B1" s="106" t="n"/>
      <c r="C1" s="106" t="n"/>
      <c r="D1" s="106" t="n"/>
      <c r="E1" s="106" t="n"/>
      <c r="F1" s="106" t="n"/>
      <c r="G1" s="106" t="n"/>
      <c r="H1" s="106" t="n"/>
    </row>
    <row r="2">
      <c r="A2" s="3" t="inlineStr">
        <is>
          <t>Answer every question Yes or No for the use case as it will run in production. The register's "Triage Result" column then shows which risks apply. Source: AI Use-Case Risk Triage (wiki).</t>
        </is>
      </c>
    </row>
    <row r="3">
      <c r="A3" s="107" t="inlineStr">
        <is>
          <t>Use case / AI system:</t>
        </is>
      </c>
      <c r="C3" s="82" t="n"/>
    </row>
    <row r="4"/>
    <row r="5">
      <c r="A5" s="75" t="inlineStr">
        <is>
          <t>#</t>
        </is>
      </c>
      <c r="B5" s="75" t="inlineStr">
        <is>
          <t>Section</t>
        </is>
      </c>
      <c r="C5" s="75" t="inlineStr">
        <is>
          <t>Question</t>
        </is>
      </c>
      <c r="D5" s="75" t="inlineStr">
        <is>
          <t>If Yes, apply risks</t>
        </is>
      </c>
      <c r="E5" s="75" t="inlineStr">
        <is>
          <t>Answer (Yes / No)</t>
        </is>
      </c>
    </row>
    <row r="6">
      <c r="A6" s="108" t="inlineStr">
        <is>
          <t>A1</t>
        </is>
      </c>
      <c r="B6" s="109" t="inlineStr">
        <is>
          <t>A. Autonomy and actions</t>
        </is>
      </c>
      <c r="C6" s="110" t="inlineStr">
        <is>
          <t>Can the AI call tools, APIs or systems, or change data?</t>
        </is>
      </c>
      <c r="D6" s="110" t="inlineStr">
        <is>
          <t>AI-R07, AI-R24, AI-R22</t>
        </is>
      </c>
      <c r="E6" s="85" t="n"/>
    </row>
    <row r="7">
      <c r="A7" s="108" t="inlineStr">
        <is>
          <t>A2</t>
        </is>
      </c>
      <c r="B7" s="109" t="inlineStr">
        <is>
          <t>A. Autonomy and actions</t>
        </is>
      </c>
      <c r="C7" s="6" t="inlineStr">
        <is>
          <t>Can it take actions without a human approving each one?</t>
        </is>
      </c>
      <c r="D7" s="6" t="inlineStr">
        <is>
          <t>AI-R07, AI-R19, AI-R18</t>
        </is>
      </c>
      <c r="E7" s="85" t="n"/>
    </row>
    <row r="8">
      <c r="A8" s="108" t="inlineStr">
        <is>
          <t>A3</t>
        </is>
      </c>
      <c r="B8" s="109" t="inlineStr">
        <is>
          <t>A. Autonomy and actions</t>
        </is>
      </c>
      <c r="C8" s="110" t="inlineStr">
        <is>
          <t>Does it keep persistent memory, notes or state across sessions?</t>
        </is>
      </c>
      <c r="D8" s="110" t="inlineStr">
        <is>
          <t>AI-R21</t>
        </is>
      </c>
      <c r="E8" s="85" t="n"/>
    </row>
    <row r="9">
      <c r="A9" s="108" t="inlineStr">
        <is>
          <t>A4</t>
        </is>
      </c>
      <c r="B9" s="109" t="inlineStr">
        <is>
          <t>A. Autonomy and actions</t>
        </is>
      </c>
      <c r="C9" s="6" t="inlineStr">
        <is>
          <t>Does it interact with other agents, or use skills, plugins or MCP servers?</t>
        </is>
      </c>
      <c r="D9" s="6" t="inlineStr">
        <is>
          <t>AI-R23, AI-R25</t>
        </is>
      </c>
      <c r="E9" s="85" t="n"/>
    </row>
    <row r="10">
      <c r="A10" s="108" t="inlineStr">
        <is>
          <t>A5</t>
        </is>
      </c>
      <c r="B10" s="109" t="inlineStr">
        <is>
          <t>A. Autonomy and actions</t>
        </is>
      </c>
      <c r="C10" s="110" t="inlineStr">
        <is>
          <t>Can it reach files, a shell, a browser session or code repositories?</t>
        </is>
      </c>
      <c r="D10" s="110" t="inlineStr">
        <is>
          <t>AI-R22, AI-R04</t>
        </is>
      </c>
      <c r="E10" s="85" t="n"/>
    </row>
    <row r="11">
      <c r="A11" s="108" t="inlineStr">
        <is>
          <t>A6</t>
        </is>
      </c>
      <c r="B11" s="109" t="inlineStr">
        <is>
          <t>A. Autonomy and actions</t>
        </is>
      </c>
      <c r="C11" s="6" t="inlineStr">
        <is>
          <t>In a single session, does it read untrusted content, reach private data, and have a way to send data out (email, web requests, posting, rendering remote links or images)? See the lethal trifecta.</t>
        </is>
      </c>
      <c r="D11" s="6" t="inlineStr">
        <is>
          <t>AI-R05, AI-R06, AI-R24</t>
        </is>
      </c>
      <c r="E11" s="85" t="n"/>
    </row>
    <row r="12">
      <c r="A12" s="111" t="inlineStr">
        <is>
          <t>B1</t>
        </is>
      </c>
      <c r="B12" s="83" t="inlineStr">
        <is>
          <t>B. Data and hosting</t>
        </is>
      </c>
      <c r="C12" s="110" t="inlineStr">
        <is>
          <t>Will it process confidential, restricted or regulated data?</t>
        </is>
      </c>
      <c r="D12" s="110" t="inlineStr">
        <is>
          <t>AI-R01, AI-R03, AI-R06</t>
        </is>
      </c>
      <c r="E12" s="85" t="n"/>
    </row>
    <row r="13">
      <c r="A13" s="111" t="inlineStr">
        <is>
          <t>B2</t>
        </is>
      </c>
      <c r="B13" s="83" t="inlineStr">
        <is>
          <t>B. Data and hosting</t>
        </is>
      </c>
      <c r="C13" s="6" t="inlineStr">
        <is>
          <t>Will it process personal data?</t>
        </is>
      </c>
      <c r="D13" s="6" t="inlineStr">
        <is>
          <t>AI-R03, AI-R28</t>
        </is>
      </c>
      <c r="E13" s="85" t="n"/>
    </row>
    <row r="14">
      <c r="A14" s="111" t="inlineStr">
        <is>
          <t>B3</t>
        </is>
      </c>
      <c r="B14" s="83" t="inlineStr">
        <is>
          <t>B. Data and hosting</t>
        </is>
      </c>
      <c r="C14" s="110" t="inlineStr">
        <is>
          <t>Is the model or service hosted by a third party?</t>
        </is>
      </c>
      <c r="D14" s="110" t="inlineStr">
        <is>
          <t>AI-R10, AI-R16, AI-R13</t>
        </is>
      </c>
      <c r="E14" s="85" t="n"/>
    </row>
    <row r="15">
      <c r="A15" s="111" t="inlineStr">
        <is>
          <t>B4</t>
        </is>
      </c>
      <c r="B15" s="83" t="inlineStr">
        <is>
          <t>B. Data and hosting</t>
        </is>
      </c>
      <c r="C15" s="6" t="inlineStr">
        <is>
          <t>Could data be processed or stored outside the approved jurisdiction?</t>
        </is>
      </c>
      <c r="D15" s="6" t="inlineStr">
        <is>
          <t>AI-R10</t>
        </is>
      </c>
      <c r="E15" s="85" t="n"/>
    </row>
    <row r="16">
      <c r="A16" s="111" t="inlineStr">
        <is>
          <t>B5</t>
        </is>
      </c>
      <c r="B16" s="83" t="inlineStr">
        <is>
          <t>B. Data and hosting</t>
        </is>
      </c>
      <c r="C16" s="110" t="inlineStr">
        <is>
          <t>Does it retrieve from internal knowledge sources or a vector store?</t>
        </is>
      </c>
      <c r="D16" s="110" t="inlineStr">
        <is>
          <t>AI-R05, AI-R06, AI-R17</t>
        </is>
      </c>
      <c r="E16" s="85" t="n"/>
    </row>
    <row r="17">
      <c r="A17" s="111" t="inlineStr">
        <is>
          <t>B6</t>
        </is>
      </c>
      <c r="B17" s="83" t="inlineStr">
        <is>
          <t>B. Data and hosting</t>
        </is>
      </c>
      <c r="C17" s="6" t="inlineStr">
        <is>
          <t>Will it be fine-tuned or trained on enterprise data?</t>
        </is>
      </c>
      <c r="D17" s="6" t="inlineStr">
        <is>
          <t>AI-R08, AI-R17</t>
        </is>
      </c>
      <c r="E17" s="85" t="n"/>
    </row>
    <row r="18">
      <c r="A18" s="112" t="inlineStr">
        <is>
          <t>C1</t>
        </is>
      </c>
      <c r="B18" s="113" t="inlineStr">
        <is>
          <t>C. Effect on people and the business</t>
        </is>
      </c>
      <c r="C18" s="110" t="inlineStr">
        <is>
          <t>Will its output inform or make decisions about individuals (eligibility, pricing, hiring, access, service level)?</t>
        </is>
      </c>
      <c r="D18" s="110" t="inlineStr">
        <is>
          <t>AI-R14, AI-R15, AI-R19, AI-R28</t>
        </is>
      </c>
      <c r="E18" s="85" t="n"/>
    </row>
    <row r="19">
      <c r="A19" s="112" t="inlineStr">
        <is>
          <t>C2</t>
        </is>
      </c>
      <c r="B19" s="113" t="inlineStr">
        <is>
          <t>C. Effect on people and the business</t>
        </is>
      </c>
      <c r="C19" s="6" t="inlineStr">
        <is>
          <t>Is it customer-facing or public-facing?</t>
        </is>
      </c>
      <c r="D19" s="6" t="inlineStr">
        <is>
          <t>AI-R20, AI-R05, AI-R12</t>
        </is>
      </c>
      <c r="E19" s="85" t="n"/>
    </row>
    <row r="20">
      <c r="A20" s="112" t="inlineStr">
        <is>
          <t>C3</t>
        </is>
      </c>
      <c r="B20" s="113" t="inlineStr">
        <is>
          <t>C. Effect on people and the business</t>
        </is>
      </c>
      <c r="C20" s="110" t="inlineStr">
        <is>
          <t>Does it operate in, or affect, critical infrastructure or safety-relevant processes?</t>
        </is>
      </c>
      <c r="D20" s="110" t="inlineStr">
        <is>
          <t>AI-R01, AI-R13, AI-R12</t>
        </is>
      </c>
      <c r="E20" s="85" t="n"/>
    </row>
    <row r="21">
      <c r="A21" s="112" t="inlineStr">
        <is>
          <t>C4</t>
        </is>
      </c>
      <c r="B21" s="113" t="inlineStr">
        <is>
          <t>C. Effect on people and the business</t>
        </is>
      </c>
      <c r="C21" s="6" t="inlineStr">
        <is>
          <t>Is the process regulated, so the AI step must meet the same supervisory standard as a human one?</t>
        </is>
      </c>
      <c r="D21" s="6" t="inlineStr">
        <is>
          <t>AI-R28, AI-R15</t>
        </is>
      </c>
      <c r="E21" s="85" t="n"/>
    </row>
    <row r="22">
      <c r="A22" s="112" t="inlineStr">
        <is>
          <t>C5</t>
        </is>
      </c>
      <c r="B22" s="113" t="inlineStr">
        <is>
          <t>C. Effect on people and the business</t>
        </is>
      </c>
      <c r="C22" s="110" t="inlineStr">
        <is>
          <t>Will people act on its output without independent checking?</t>
        </is>
      </c>
      <c r="D22" s="110" t="inlineStr">
        <is>
          <t>AI-R12, AI-R19</t>
        </is>
      </c>
      <c r="E22" s="85" t="n"/>
    </row>
    <row r="23">
      <c r="A23" s="114" t="inlineStr">
        <is>
          <t>D1</t>
        </is>
      </c>
      <c r="B23" s="115" t="inlineStr">
        <is>
          <t>D. Model and operations</t>
        </is>
      </c>
      <c r="C23" s="6" t="inlineStr">
        <is>
          <t>Does the provider control updates to the underlying model (aliases, silent upgrades)?</t>
        </is>
      </c>
      <c r="D23" s="6" t="inlineStr">
        <is>
          <t>AI-R16</t>
        </is>
      </c>
      <c r="E23" s="85" t="n"/>
    </row>
    <row r="24">
      <c r="A24" s="114" t="inlineStr">
        <is>
          <t>D2</t>
        </is>
      </c>
      <c r="B24" s="115" t="inlineStr">
        <is>
          <t>D. Model and operations</t>
        </is>
      </c>
      <c r="C24" s="110" t="inlineStr">
        <is>
          <t>Could usage or cost grow quickly without a human noticing (automated traffic, loops)?</t>
        </is>
      </c>
      <c r="D24" s="110" t="inlineStr">
        <is>
          <t>AI-R11</t>
        </is>
      </c>
      <c r="E24" s="85" t="n"/>
    </row>
    <row r="25">
      <c r="A25" s="114" t="inlineStr">
        <is>
          <t>D3</t>
        </is>
      </c>
      <c r="B25" s="115" t="inlineStr">
        <is>
          <t>D. Model and operations</t>
        </is>
      </c>
      <c r="C25" s="6" t="inlineStr">
        <is>
          <t>Will it show or log reasoning steps, intermediate tool output or system instructions?</t>
        </is>
      </c>
      <c r="D25" s="6" t="inlineStr">
        <is>
          <t>AI-R26</t>
        </is>
      </c>
      <c r="E25" s="85" t="n"/>
    </row>
    <row r="26">
      <c r="A26" s="114" t="inlineStr">
        <is>
          <t>D4</t>
        </is>
      </c>
      <c r="B26" s="115" t="inlineStr">
        <is>
          <t>D. Model and operations</t>
        </is>
      </c>
      <c r="C26" s="110" t="inlineStr">
        <is>
          <t>Will it generate content or code that is published, shipped or sent externally?</t>
        </is>
      </c>
      <c r="D26" s="110" t="inlineStr">
        <is>
          <t>AI-R27, AI-R20</t>
        </is>
      </c>
      <c r="E26" s="85" t="n"/>
    </row>
    <row r="27">
      <c r="A27" s="114" t="inlineStr">
        <is>
          <t>D5</t>
        </is>
      </c>
      <c r="B27" s="115" t="inlineStr">
        <is>
          <t>D. Model and operations</t>
        </is>
      </c>
      <c r="C27" s="6" t="inlineStr">
        <is>
          <t>Is the business process dependent on it being available?</t>
        </is>
      </c>
      <c r="D27" s="6" t="inlineStr">
        <is>
          <t>AI-R13</t>
        </is>
      </c>
      <c r="E27" s="85" t="n"/>
    </row>
    <row r="28">
      <c r="A28" s="114" t="inlineStr">
        <is>
          <t>D6</t>
        </is>
      </c>
      <c r="B28" s="115" t="inlineStr">
        <is>
          <t>D. Model and operations</t>
        </is>
      </c>
      <c r="C28" s="110" t="inlineStr">
        <is>
          <t>Does it lack a registered purpose, or could it be reused for a purpose other than the approved one?</t>
        </is>
      </c>
      <c r="D28" s="110" t="inlineStr">
        <is>
          <t>AI-R18, AI-R02</t>
        </is>
      </c>
      <c r="E28" s="85" t="n"/>
    </row>
    <row r="29">
      <c r="A29" s="114" t="inlineStr">
        <is>
          <t>D7</t>
        </is>
      </c>
      <c r="B29" s="115" t="inlineStr">
        <is>
          <t>D. Model and operations</t>
        </is>
      </c>
      <c r="C29" s="6" t="inlineStr">
        <is>
          <t>Might its outputs or actions later need to be investigated or evidenced (an incident, a dispute, an audit)?</t>
        </is>
      </c>
      <c r="D29" s="6" t="inlineStr">
        <is>
          <t>AI-R09, AI-R15</t>
        </is>
      </c>
      <c r="E29" s="85" t="n"/>
    </row>
    <row r="30">
      <c r="A30" s="116" t="inlineStr">
        <is>
          <t>E1</t>
        </is>
      </c>
      <c r="B30" s="82" t="inlineStr">
        <is>
          <t>E. Business, people, legal and supply chain</t>
        </is>
      </c>
      <c r="C30" s="110" t="inlineStr">
        <is>
          <t>Is the use case being funded or scaled at significant cost, or without a stated problem and success measure?</t>
        </is>
      </c>
      <c r="D30" s="110" t="inlineStr">
        <is>
          <t>AI-R29, AI-R30</t>
        </is>
      </c>
      <c r="E30" s="85" t="n"/>
    </row>
    <row r="31">
      <c r="A31" s="116" t="inlineStr">
        <is>
          <t>E2</t>
        </is>
      </c>
      <c r="B31" s="82" t="inlineStr">
        <is>
          <t>E. Business, people, legal and supply chain</t>
        </is>
      </c>
      <c r="C31" s="6" t="inlineStr">
        <is>
          <t>Does the cost depend on a provider's pricing, or on usage that is hard to forecast?</t>
        </is>
      </c>
      <c r="D31" s="6" t="inlineStr">
        <is>
          <t>AI-R30, AI-R35</t>
        </is>
      </c>
      <c r="E31" s="85" t="n"/>
    </row>
    <row r="32">
      <c r="A32" s="116" t="inlineStr">
        <is>
          <t>E3</t>
        </is>
      </c>
      <c r="B32" s="82" t="inlineStr">
        <is>
          <t>E. Business, people, legal and supply chain</t>
        </is>
      </c>
      <c r="C32" s="110" t="inlineStr">
        <is>
          <t>Does it depend on one model provider, a proprietary API or fine-tuning that would not transfer to another provider?</t>
        </is>
      </c>
      <c r="D32" s="110" t="inlineStr">
        <is>
          <t>AI-R31</t>
        </is>
      </c>
      <c r="E32" s="85" t="n"/>
    </row>
    <row r="33">
      <c r="A33" s="116" t="inlineStr">
        <is>
          <t>E4</t>
        </is>
      </c>
      <c r="B33" s="82" t="inlineStr">
        <is>
          <t>E. Business, people, legal and supply chain</t>
        </is>
      </c>
      <c r="C33" s="6" t="inlineStr">
        <is>
          <t>Does it share a base model with other systems, or with the controls that check its output?</t>
        </is>
      </c>
      <c r="D33" s="6" t="inlineStr">
        <is>
          <t>AI-R32</t>
        </is>
      </c>
      <c r="E33" s="85" t="n"/>
    </row>
    <row r="34">
      <c r="A34" s="116" t="inlineStr">
        <is>
          <t>E5</t>
        </is>
      </c>
      <c r="B34" s="82" t="inlineStr">
        <is>
          <t>E. Business, people, legal and supply chain</t>
        </is>
      </c>
      <c r="C34" s="110" t="inlineStr">
        <is>
          <t>Will it take over work that people do today, or change their roles?</t>
        </is>
      </c>
      <c r="D34" s="110" t="inlineStr">
        <is>
          <t>AI-R33, AI-R34</t>
        </is>
      </c>
      <c r="E34" s="85" t="n"/>
    </row>
    <row r="35">
      <c r="A35" s="116" t="inlineStr">
        <is>
          <t>E6</t>
        </is>
      </c>
      <c r="B35" s="82" t="inlineStr">
        <is>
          <t>E. Business, people, legal and supply chain</t>
        </is>
      </c>
      <c r="C35" s="6" t="inlineStr">
        <is>
          <t>Will you fine-tune, rebrand or change the purpose of a third-party model, or self-host an open-weight model?</t>
        </is>
      </c>
      <c r="D35" s="6" t="inlineStr">
        <is>
          <t>AI-R36, AI-R37, AI-R44</t>
        </is>
      </c>
      <c r="E35" s="85" t="n"/>
    </row>
    <row r="36">
      <c r="A36" s="116" t="inlineStr">
        <is>
          <t>E7</t>
        </is>
      </c>
      <c r="B36" s="82" t="inlineStr">
        <is>
          <t>E. Business, people, legal and supply chain</t>
        </is>
      </c>
      <c r="C36" s="110" t="inlineStr">
        <is>
          <t>Could its prompts, outputs or traces be needed in litigation, a regulatory inquiry or a dispute?</t>
        </is>
      </c>
      <c r="D36" s="110" t="inlineStr">
        <is>
          <t>AI-R38</t>
        </is>
      </c>
      <c r="E36" s="85" t="n"/>
    </row>
    <row r="37">
      <c r="A37" s="116" t="inlineStr">
        <is>
          <t>E8</t>
        </is>
      </c>
      <c r="B37" s="82" t="inlineStr">
        <is>
          <t>E. Business, people, legal and supply chain</t>
        </is>
      </c>
      <c r="C37" s="6" t="inlineStr">
        <is>
          <t>Is it a model used in decisions that model risk management or financial reporting controls cover?</t>
        </is>
      </c>
      <c r="D37" s="6" t="inlineStr">
        <is>
          <t>AI-R39, AI-R40</t>
        </is>
      </c>
      <c r="E37" s="85" t="n"/>
    </row>
    <row r="38">
      <c r="A38" s="116" t="inlineStr">
        <is>
          <t>E9</t>
        </is>
      </c>
      <c r="B38" s="82" t="inlineStr">
        <is>
          <t>E. Business, people, legal and supply chain</t>
        </is>
      </c>
      <c r="C38" s="110" t="inlineStr">
        <is>
          <t>Will the organization make external claims about its AI capability, or rely on a vendor's claim?</t>
        </is>
      </c>
      <c r="D38" s="110" t="inlineStr">
        <is>
          <t>AI-R41</t>
        </is>
      </c>
      <c r="E38" s="85" t="n"/>
    </row>
    <row r="39">
      <c r="A39" s="116" t="inlineStr">
        <is>
          <t>E10</t>
        </is>
      </c>
      <c r="B39" s="82" t="inlineStr">
        <is>
          <t>E. Business, people, legal and supply chain</t>
        </is>
      </c>
      <c r="C39" s="6" t="inlineStr">
        <is>
          <t>Is it conversational, with a persona, or open to the public or to vulnerable users?</t>
        </is>
      </c>
      <c r="D39" s="6" t="inlineStr">
        <is>
          <t>AI-R42</t>
        </is>
      </c>
      <c r="E39" s="85" t="n"/>
    </row>
    <row r="40">
      <c r="A40" s="116" t="inlineStr">
        <is>
          <t>E11</t>
        </is>
      </c>
      <c r="B40" s="82" t="inlineStr">
        <is>
          <t>E. Business, people, legal and supply chain</t>
        </is>
      </c>
      <c r="C40" s="110" t="inlineStr">
        <is>
          <t>Will it write code or install software dependencies?</t>
        </is>
      </c>
      <c r="D40" s="110" t="inlineStr">
        <is>
          <t>AI-R43</t>
        </is>
      </c>
      <c r="E40" s="85" t="n"/>
    </row>
    <row r="41">
      <c r="A41" s="116" t="inlineStr">
        <is>
          <t>E12</t>
        </is>
      </c>
      <c r="B41" s="82" t="inlineStr">
        <is>
          <t>E. Business, people, legal and supply chain</t>
        </is>
      </c>
      <c r="C41" s="6" t="inlineStr">
        <is>
          <t>Can it act on behalf of users, with permissions broader than some of those users hold, or is its activity watched by security monitoring?</t>
        </is>
      </c>
      <c r="D41" s="6" t="inlineStr">
        <is>
          <t>AI-R45, AI-R46</t>
        </is>
      </c>
      <c r="E41" s="85" t="n"/>
    </row>
    <row r="42">
      <c r="A42" s="116" t="inlineStr">
        <is>
          <t>E13</t>
        </is>
      </c>
      <c r="B42" s="82" t="inlineStr">
        <is>
          <t>E. Business, people, legal and supply chain</t>
        </is>
      </c>
      <c r="C42" s="110" t="inlineStr">
        <is>
          <t>Can people outside the organization query the model at volume, through an API or an application?</t>
        </is>
      </c>
      <c r="D42" s="110" t="inlineStr">
        <is>
          <t>AI-R47</t>
        </is>
      </c>
      <c r="E42" s="85" t="n"/>
    </row>
    <row r="43">
      <c r="A43" s="116" t="inlineStr">
        <is>
          <t>E14</t>
        </is>
      </c>
      <c r="B43" s="82" t="inlineStr">
        <is>
          <t>E. Business, people, legal and supply chain</t>
        </is>
      </c>
      <c r="C43" s="6" t="inlineStr">
        <is>
          <t>Was the model trained or fine-tuned on personal data, or does it retrieve personal data from embeddings or caches?</t>
        </is>
      </c>
      <c r="D43" s="6" t="inlineStr">
        <is>
          <t>AI-R49</t>
        </is>
      </c>
      <c r="E43" s="85" t="n"/>
    </row>
    <row r="44">
      <c r="A44" s="116" t="inlineStr">
        <is>
          <t>E15</t>
        </is>
      </c>
      <c r="B44" s="82" t="inlineStr">
        <is>
          <t>E. Business, people, legal and supply chain</t>
        </is>
      </c>
      <c r="C44" s="110" t="inlineStr">
        <is>
          <t>Do you train, fine-tune or host models yourselves, or build on open-source models, libraries or agent frameworks?</t>
        </is>
      </c>
      <c r="D44" s="110" t="inlineStr">
        <is>
          <t>AI-R50, AI-R52</t>
        </is>
      </c>
      <c r="E44" s="85" t="n"/>
    </row>
    <row r="45">
      <c r="A45" s="116" t="inlineStr">
        <is>
          <t>E16</t>
        </is>
      </c>
      <c r="B45" s="82" t="inlineStr">
        <is>
          <t>E. Business, people, legal and supply chain</t>
        </is>
      </c>
      <c r="C45" s="6" t="inlineStr">
        <is>
          <t>Could its decisions or outputs harm customers or other third parties?</t>
        </is>
      </c>
      <c r="D45" s="6" t="inlineStr">
        <is>
          <t>AI-R51</t>
        </is>
      </c>
      <c r="E45" s="85" t="n"/>
    </row>
    <row r="46">
      <c r="A46" s="116" t="inlineStr">
        <is>
          <t>E17</t>
        </is>
      </c>
      <c r="B46" s="82" t="inlineStr">
        <is>
          <t>E. Business, people, legal and supply chain</t>
        </is>
      </c>
      <c r="C46" s="110" t="inlineStr">
        <is>
          <t>Will it generate images, audio, video or text that people outside the organization will see?</t>
        </is>
      </c>
      <c r="D46" s="110" t="inlineStr">
        <is>
          <t>AI-R53</t>
        </is>
      </c>
      <c r="E46" s="85" t="n"/>
    </row>
    <row r="47">
      <c r="A47" s="116" t="inlineStr">
        <is>
          <t>E18</t>
        </is>
      </c>
      <c r="B47" s="82" t="inlineStr">
        <is>
          <t>E. Business, people, legal and supply chain</t>
        </is>
      </c>
      <c r="C47" s="6" t="inlineStr">
        <is>
          <t>Will its agents send messages to, or act in, other organizations' systems?</t>
        </is>
      </c>
      <c r="D47" s="6" t="inlineStr">
        <is>
          <t>AI-R54</t>
        </is>
      </c>
      <c r="E47" s="85" t="n"/>
    </row>
    <row r="48">
      <c r="A48" s="116" t="inlineStr">
        <is>
          <t>E19</t>
        </is>
      </c>
      <c r="B48" s="82" t="inlineStr">
        <is>
          <t>E. Business, people, legal and supply chain</t>
        </is>
      </c>
      <c r="C48" s="110" t="inlineStr">
        <is>
          <t>Does the incident response plan lack AI-specific categories for this system, such as prompt injection, harmful output or an agent acting outside its task?</t>
        </is>
      </c>
      <c r="D48" s="110" t="inlineStr">
        <is>
          <t>AI-R48</t>
        </is>
      </c>
      <c r="E48" s="85" t="n"/>
    </row>
    <row r="49"/>
    <row r="50">
      <c r="A50" s="107" t="inlineStr">
        <is>
          <t>Full impact assessment needed?</t>
        </is>
      </c>
      <c r="C50" s="47">
        <f>IF(OR(E18="Yes",E20="Yes",E21="Yes",AND(E13="Yes",E19="Yes")),"Yes: run a full impact assessment under AI-CTRL-042 before go-live",IF(COUNTA(E6:E48)=0,"Answer the questions above","No (by the wiki's thresholds)"))</f>
        <v/>
      </c>
    </row>
    <row r="51">
      <c r="C51" s="6" t="inlineStr">
        <is>
          <t>Rule from the wiki: any Yes to C1, C3 or C4, or Yes to both B2 and C2. These are the wiki's thresholds; ISO/IEC 42005:2025 clause 5.7 asks each organization to set its own.</t>
        </is>
      </c>
    </row>
    <row r="52">
      <c r="A52" s="107" t="inlineStr">
        <is>
          <t>Questions answered</t>
        </is>
      </c>
      <c r="C52" s="81">
        <f>COUNTA(E6:E48)&amp;" of 43"</f>
        <v/>
      </c>
    </row>
    <row r="53">
      <c r="A53" s="107" t="inlineStr">
        <is>
          <t>Risks that apply</t>
        </is>
      </c>
      <c r="C53" s="81">
        <f>COUNTIF('AI Risk Register'!N5:N59,"Applies")&amp;" of 55 register risks"</f>
        <v/>
      </c>
    </row>
  </sheetData>
  <mergeCells count="4">
    <mergeCell ref="A3:B3"/>
    <mergeCell ref="A53:B53"/>
    <mergeCell ref="A52:B52"/>
    <mergeCell ref="A50:B50"/>
  </mergeCells>
  <conditionalFormatting sqref="E6:E48">
    <cfRule type="cellIs" priority="1" operator="equal" dxfId="17">
      <formula>"Yes"</formula>
    </cfRule>
    <cfRule type="cellIs" priority="2" operator="equal" dxfId="11">
      <formula>"No"</formula>
    </cfRule>
  </conditionalFormatting>
  <dataValidations count="1">
    <dataValidation sqref="E6:E48" showDropDown="0" showInputMessage="0" showErrorMessage="0" allowBlank="0" type="list">
      <formula1>Lists!$J$2:$J$3</formula1>
    </dataValidation>
  </dataValidations>
  <pageMargins left="0.75" right="0.75" top="1" bottom="1" header="0.5" footer="0.5"/>
</worksheet>
</file>

<file path=xl/worksheets/sheet7.xml><?xml version="1.0" encoding="utf-8"?>
<worksheet xmlns="http://schemas.openxmlformats.org/spreadsheetml/2006/main">
  <sheetPr>
    <tabColor rgb="001F6E8C"/>
    <outlinePr summaryBelow="1" summaryRight="1"/>
    <pageSetUpPr/>
  </sheetPr>
  <dimension ref="A1:H76"/>
  <sheetViews>
    <sheetView showGridLines="0" workbookViewId="0">
      <selection activeCell="A1" sqref="A1"/>
    </sheetView>
  </sheetViews>
  <sheetFormatPr baseColWidth="8" defaultRowHeight="15"/>
  <cols>
    <col width="30" customWidth="1" min="1" max="1"/>
    <col width="60" customWidth="1" min="2" max="2"/>
    <col width="50" customWidth="1" min="3" max="3"/>
  </cols>
  <sheetData>
    <row r="1" ht="30" customHeight="1">
      <c r="A1" s="117" t="inlineStr">
        <is>
          <t>AI risk assessment and treatment methodology</t>
        </is>
      </c>
      <c r="B1" s="118" t="n"/>
      <c r="C1" s="118" t="n"/>
      <c r="D1" s="118" t="n"/>
      <c r="E1" s="118" t="n"/>
      <c r="F1" s="118" t="n"/>
      <c r="G1" s="118" t="n"/>
      <c r="H1" s="118" t="n"/>
    </row>
    <row r="2">
      <c r="A2" s="3" t="inlineStr">
        <is>
          <t>Summarised from the wiki pages AI Risk Methodology and AI Risk Treatment Plan. The numeric scales are in Settings.</t>
        </is>
      </c>
    </row>
    <row r="3"/>
    <row r="4">
      <c r="A4" s="119" t="inlineStr">
        <is>
          <t>Risk formula</t>
        </is>
      </c>
      <c r="B4" s="118" t="n"/>
      <c r="C4" s="118" t="n"/>
      <c r="D4" s="118" t="n"/>
      <c r="E4" s="118" t="n"/>
      <c r="F4" s="118" t="n"/>
      <c r="G4" s="118" t="n"/>
      <c r="H4" s="118" t="n"/>
    </row>
    <row r="5">
      <c r="A5" s="6" t="inlineStr">
        <is>
          <t>Score</t>
        </is>
      </c>
      <c r="B5" s="6" t="inlineStr">
        <is>
          <t>Likelihood (1-4) x Impact (1-4), giving 1 to 16.</t>
        </is>
      </c>
    </row>
    <row r="6">
      <c r="A6" s="120" t="inlineStr">
        <is>
          <t>Rating</t>
        </is>
      </c>
      <c r="B6" s="120" t="inlineStr">
        <is>
          <t>Looked up from the bands in Settings (Low, Medium, High, Critical, matching the wiki Risk Scale).</t>
        </is>
      </c>
    </row>
    <row r="7">
      <c r="A7" s="6" t="inlineStr">
        <is>
          <t>Current vs target</t>
        </is>
      </c>
      <c r="B7" s="6" t="inlineStr">
        <is>
          <t>Current = with existing controls. Target = expected after the planned treatment. The residual rating used for appetite is the target if set, otherwise the current rating.</t>
        </is>
      </c>
    </row>
    <row r="8">
      <c r="A8" s="120" t="inlineStr">
        <is>
          <t>Why not CIA</t>
        </is>
      </c>
      <c r="B8" s="120" t="inlineStr">
        <is>
          <t>The source template valued assets by confidentiality, integrity and availability. Many AI risks (cost, workforce, bias, strategy, legal) are not CIA risks, so impact is scored directly and the impact type is recorded separately.</t>
        </is>
      </c>
    </row>
    <row r="9"/>
    <row r="10">
      <c r="A10" s="119" t="inlineStr">
        <is>
          <t>Rating factors (wiki)</t>
        </is>
      </c>
      <c r="B10" s="118" t="n"/>
      <c r="C10" s="118" t="n"/>
      <c r="D10" s="118" t="n"/>
      <c r="E10" s="118" t="n"/>
      <c r="F10" s="118" t="n"/>
      <c r="G10" s="118" t="n"/>
      <c r="H10" s="118" t="n"/>
    </row>
    <row r="11">
      <c r="A11" s="77" t="inlineStr">
        <is>
          <t>Factor</t>
        </is>
      </c>
      <c r="B11" s="77" t="inlineStr">
        <is>
          <t>Definition</t>
        </is>
      </c>
    </row>
    <row r="12">
      <c r="A12" s="120" t="inlineStr">
        <is>
          <t>Likelihood</t>
        </is>
      </c>
      <c r="B12" s="120" t="inlineStr">
        <is>
          <t>Probability of the risk occurring based on exposure, adoption, control maturity and user behavior.</t>
        </is>
      </c>
    </row>
    <row r="13">
      <c r="A13" s="6" t="inlineStr">
        <is>
          <t>Impact</t>
        </is>
      </c>
      <c r="B13" s="6" t="inlineStr">
        <is>
          <t>Consequence to confidentiality, integrity, availability, compliance, operational continuity, reputation or critical infrastructure.</t>
        </is>
      </c>
    </row>
    <row r="14">
      <c r="A14" s="120" t="inlineStr">
        <is>
          <t>Existing Control Coverage</t>
        </is>
      </c>
      <c r="B14" s="120" t="inlineStr">
        <is>
          <t>Current ability of existing controls to prevent, detect, respond or provide evidence.</t>
        </is>
      </c>
    </row>
    <row r="15">
      <c r="A15" s="6" t="inlineStr">
        <is>
          <t>Residual Risk</t>
        </is>
      </c>
      <c r="B15" s="6" t="inlineStr">
        <is>
          <t>Remaining risk after considering current control coverage.</t>
        </is>
      </c>
    </row>
    <row r="16">
      <c r="A16" s="120" t="inlineStr">
        <is>
          <t>Additional Control Requirement</t>
        </is>
      </c>
      <c r="B16" s="120" t="inlineStr">
        <is>
          <t>Whether AI-specific controls, governance, monitoring or enforcement are required.</t>
        </is>
      </c>
    </row>
    <row r="17"/>
    <row r="18">
      <c r="A18" s="119" t="inlineStr">
        <is>
          <t>Risk scale (wiki)</t>
        </is>
      </c>
      <c r="B18" s="118" t="n"/>
      <c r="C18" s="118" t="n"/>
      <c r="D18" s="118" t="n"/>
      <c r="E18" s="118" t="n"/>
      <c r="F18" s="118" t="n"/>
      <c r="G18" s="118" t="n"/>
      <c r="H18" s="118" t="n"/>
    </row>
    <row r="19">
      <c r="A19" s="77" t="inlineStr">
        <is>
          <t>Rating</t>
        </is>
      </c>
      <c r="B19" s="77" t="inlineStr">
        <is>
          <t>Definition</t>
        </is>
      </c>
    </row>
    <row r="20">
      <c r="A20" s="120" t="inlineStr">
        <is>
          <t>Low</t>
        </is>
      </c>
      <c r="B20" s="120" t="inlineStr">
        <is>
          <t>Limited likelihood or business impact; existing controls generally sufficient.</t>
        </is>
      </c>
    </row>
    <row r="21">
      <c r="A21" s="6" t="inlineStr">
        <is>
          <t>Medium</t>
        </is>
      </c>
      <c r="B21" s="6" t="inlineStr">
        <is>
          <t>Possible risk affecting sensitive information, compliance or business processes; monitoring or governance may be required.</t>
        </is>
      </c>
    </row>
    <row r="22">
      <c r="A22" s="120" t="inlineStr">
        <is>
          <t>High</t>
        </is>
      </c>
      <c r="B22" s="120" t="inlineStr">
        <is>
          <t>Likely or significant impact; additional controls, monitoring or enforcement required.</t>
        </is>
      </c>
    </row>
    <row r="23">
      <c r="A23" s="6" t="inlineStr">
        <is>
          <t>Critical</t>
        </is>
      </c>
      <c r="B23" s="6" t="inlineStr">
        <is>
          <t>May affect critical infrastructure, restricted data, regulatory obligations or operational continuity; strong preventive and detective controls required.</t>
        </is>
      </c>
    </row>
    <row r="24"/>
    <row r="25">
      <c r="A25" s="119" t="inlineStr">
        <is>
          <t>Before rating (wiki)</t>
        </is>
      </c>
      <c r="B25" s="118" t="n"/>
      <c r="C25" s="118" t="n"/>
      <c r="D25" s="118" t="n"/>
      <c r="E25" s="118" t="n"/>
      <c r="F25" s="118" t="n"/>
      <c r="G25" s="118" t="n"/>
      <c r="H25" s="118" t="n"/>
    </row>
    <row r="26">
      <c r="A26" s="120" t="inlineStr">
        <is>
          <t>Risk factor vs scenario</t>
        </is>
      </c>
      <c r="B26" s="120" t="inlineStr">
        <is>
          <t>Each library entry is a risk factor. Before rating, turn it into a scenario for the system: what could happen, to which asset or people, through which path, with what consequence. Write it in "Risk Scenario".</t>
        </is>
      </c>
    </row>
    <row r="27">
      <c r="A27" s="6" t="inlineStr">
        <is>
          <t>Order is not likelihood</t>
        </is>
      </c>
      <c r="B27" s="6" t="inlineStr">
        <is>
          <t>The position of a risk in the list says nothing about how likely or severe it is.</t>
        </is>
      </c>
    </row>
    <row r="28">
      <c r="A28" s="120" t="inlineStr">
        <is>
          <t>Lists seed the assessment</t>
        </is>
      </c>
      <c r="B28" s="120" t="inlineStr">
        <is>
          <t>Use the library and triage to prompt threat modelling, alongside a model of the specific system.</t>
        </is>
      </c>
    </row>
    <row r="29">
      <c r="A29" s="6" t="inlineStr">
        <is>
          <t>Scope</t>
        </is>
      </c>
      <c r="B29" s="6" t="inlineStr">
        <is>
          <t>Risks from the organization's own adoption of AI. Attacks others carry out with AI belong on the threat register.</t>
        </is>
      </c>
    </row>
    <row r="30">
      <c r="A30" s="120" t="inlineStr">
        <is>
          <t>Owner domain</t>
        </is>
      </c>
      <c r="B30" s="120" t="inlineStr">
        <is>
          <t>Record the domain that owns the risk; if two own it, record the second domain and name one accountable owner.</t>
        </is>
      </c>
    </row>
    <row r="31">
      <c r="A31" s="6" t="inlineStr">
        <is>
          <t>When to quantify</t>
        </is>
      </c>
      <c r="B31" s="6" t="inlineStr">
        <is>
          <t>Use FAIR-style quantification where loss data or credible estimates exist (data leakage, cost abuse, disruption, fines). Use a narrative with indicators for risks such as loss of expertise or trust. Record the approach used.</t>
        </is>
      </c>
    </row>
    <row r="32">
      <c r="A32" s="120" t="inlineStr">
        <is>
          <t>Credit</t>
        </is>
      </c>
      <c r="B32" s="120" t="inlineStr">
        <is>
          <t>These usage ideas are adapted by the wiki from the AI Risk Map v1.3 by Evan Wheeler, RiskFramework.org, CC BY-SA 4.0.</t>
        </is>
      </c>
    </row>
    <row r="33"/>
    <row r="34">
      <c r="A34" s="119" t="inlineStr">
        <is>
          <t>Treatment options (wiki)</t>
        </is>
      </c>
      <c r="B34" s="118" t="n"/>
      <c r="C34" s="118" t="n"/>
      <c r="D34" s="118" t="n"/>
      <c r="E34" s="118" t="n"/>
      <c r="F34" s="118" t="n"/>
      <c r="G34" s="118" t="n"/>
      <c r="H34" s="118" t="n"/>
    </row>
    <row r="35">
      <c r="A35" s="77" t="inlineStr">
        <is>
          <t>Option</t>
        </is>
      </c>
      <c r="B35" s="77" t="inlineStr">
        <is>
          <t>When to use</t>
        </is>
      </c>
      <c r="C35" s="77" t="inlineStr">
        <is>
          <t>Required evidence</t>
        </is>
      </c>
    </row>
    <row r="36">
      <c r="A36" s="120" t="inlineStr">
        <is>
          <t>Mitigate</t>
        </is>
      </c>
      <c r="B36" s="120" t="inlineStr">
        <is>
          <t>Control can reduce likelihood or impact</t>
        </is>
      </c>
      <c r="C36" s="120" t="inlineStr">
        <is>
          <t>Control configuration, test results, logs</t>
        </is>
      </c>
    </row>
    <row r="37">
      <c r="A37" s="6" t="inlineStr">
        <is>
          <t>Avoid</t>
        </is>
      </c>
      <c r="B37" s="6" t="inlineStr">
        <is>
          <t>Risk exceeds tolerance or controls unavailable</t>
        </is>
      </c>
      <c r="C37" s="6" t="inlineStr">
        <is>
          <t>Rejection decision, architectural notes</t>
        </is>
      </c>
    </row>
    <row r="38">
      <c r="A38" s="120" t="inlineStr">
        <is>
          <t>Transfer</t>
        </is>
      </c>
      <c r="B38" s="120" t="inlineStr">
        <is>
          <t>Third party assumes contractual responsibility</t>
        </is>
      </c>
      <c r="C38" s="120" t="inlineStr">
        <is>
          <t>Contract terms, SLA, audit rights</t>
        </is>
      </c>
    </row>
    <row r="39">
      <c r="A39" s="6" t="inlineStr">
        <is>
          <t>Accept</t>
        </is>
      </c>
      <c r="B39" s="6" t="inlineStr">
        <is>
          <t>Residual risk is within tolerance</t>
        </is>
      </c>
      <c r="C39" s="6" t="inlineStr">
        <is>
          <t>Risk acceptance record, owner approval, review date</t>
        </is>
      </c>
    </row>
    <row r="40"/>
    <row r="41">
      <c r="A41" s="119" t="inlineStr">
        <is>
          <t>Exceptions (wiki)</t>
        </is>
      </c>
      <c r="B41" s="118" t="n"/>
      <c r="C41" s="118" t="n"/>
      <c r="D41" s="118" t="n"/>
      <c r="E41" s="118" t="n"/>
      <c r="F41" s="118" t="n"/>
      <c r="G41" s="118" t="n"/>
      <c r="H41" s="118" t="n"/>
    </row>
    <row r="42">
      <c r="A42" s="120" t="inlineStr">
        <is>
          <t>Every exception records</t>
        </is>
      </c>
      <c r="B42" s="120" t="inlineStr">
        <is>
          <t>Business justification, affected AI platform, data classification, compensating controls, approval owner, expiry date and review cadence.</t>
        </is>
      </c>
    </row>
    <row r="43"/>
    <row r="44">
      <c r="A44" s="119" t="inlineStr">
        <is>
          <t>Treatment phases (wiki)</t>
        </is>
      </c>
      <c r="B44" s="118" t="n"/>
      <c r="C44" s="118" t="n"/>
      <c r="D44" s="118" t="n"/>
      <c r="E44" s="118" t="n"/>
      <c r="F44" s="118" t="n"/>
      <c r="G44" s="118" t="n"/>
      <c r="H44" s="118" t="n"/>
    </row>
    <row r="45">
      <c r="A45" s="77" t="inlineStr">
        <is>
          <t>Phase</t>
        </is>
      </c>
      <c r="B45" s="77" t="inlineStr">
        <is>
          <t>Key activities</t>
        </is>
      </c>
      <c r="C45" s="77" t="inlineStr">
        <is>
          <t>Outcome</t>
        </is>
      </c>
    </row>
    <row r="46">
      <c r="A46" s="120" t="inlineStr">
        <is>
          <t>Phase 1: Visibility and Discovery</t>
        </is>
      </c>
      <c r="B46" s="120" t="inlineStr">
        <is>
          <t>Discover AI tools, users, endpoints, IDE plugins, SaaS AI, AI APIs and custom apps</t>
        </is>
      </c>
      <c r="C46" s="120" t="inlineStr">
        <is>
          <t>AI inventory and usage baseline</t>
        </is>
      </c>
    </row>
    <row r="47">
      <c r="A47" s="6" t="inlineStr">
        <is>
          <t>Phase 2: Data Protection and Enforcement</t>
        </is>
      </c>
      <c r="B47" s="6" t="inlineStr">
        <is>
          <t>Classification-aware prompt and upload controls; detect source code and credentials</t>
        </is>
      </c>
      <c r="C47" s="6" t="inlineStr">
        <is>
          <t>Data leakage risk reduction</t>
        </is>
      </c>
    </row>
    <row r="48">
      <c r="A48" s="120" t="inlineStr">
        <is>
          <t>Phase 3: Runtime Protection</t>
        </is>
      </c>
      <c r="B48" s="120" t="inlineStr">
        <is>
          <t>Test prompt injection, RAG retrieval, output governance, AI API security</t>
        </is>
      </c>
      <c r="C48" s="120" t="inlineStr">
        <is>
          <t>Production-ready AI application controls</t>
        </is>
      </c>
    </row>
    <row r="49">
      <c r="A49" s="6" t="inlineStr">
        <is>
          <t>Phase 4: Agentic AI Governance</t>
        </is>
      </c>
      <c r="B49" s="6" t="inlineStr">
        <is>
          <t>Agent identity, tool/API permissions, approval workflows, action logs</t>
        </is>
      </c>
      <c r="C49" s="6" t="inlineStr">
        <is>
          <t>Controlled agentic AI adoption</t>
        </is>
      </c>
    </row>
    <row r="50">
      <c r="A50" s="120" t="inlineStr">
        <is>
          <t>Phase 5: Continuous Governance</t>
        </is>
      </c>
      <c r="B50" s="120" t="inlineStr">
        <is>
          <t>Periodic review, dashboard reporting, exception tracking, audit evidence</t>
        </is>
      </c>
      <c r="C50" s="120" t="inlineStr">
        <is>
          <t>Sustainable AI governance maturity</t>
        </is>
      </c>
    </row>
    <row r="51"/>
    <row r="52">
      <c r="A52" s="119" t="inlineStr">
        <is>
          <t>Review triggers (wiki): re-assess when any of these happen</t>
        </is>
      </c>
      <c r="B52" s="118" t="n"/>
      <c r="C52" s="118" t="n"/>
      <c r="D52" s="118" t="n"/>
      <c r="E52" s="118" t="n"/>
      <c r="F52" s="118" t="n"/>
      <c r="G52" s="118" t="n"/>
      <c r="H52" s="118" t="n"/>
    </row>
    <row r="53">
      <c r="A53" s="6" t="inlineStr">
        <is>
          <t>New AI vendor onboarding.</t>
        </is>
      </c>
      <c r="B53" s="6" t="inlineStr"/>
    </row>
    <row r="54">
      <c r="A54" s="120" t="inlineStr">
        <is>
          <t>New AI integration with enterprise data.</t>
        </is>
      </c>
      <c r="B54" s="120" t="inlineStr"/>
    </row>
    <row r="55">
      <c r="A55" s="6" t="inlineStr">
        <is>
          <t>AI coding assistant adoption.</t>
        </is>
      </c>
      <c r="B55" s="6" t="inlineStr"/>
    </row>
    <row r="56">
      <c r="A56" s="120" t="inlineStr">
        <is>
          <t>New RAG or custom AI application.</t>
        </is>
      </c>
      <c r="B56" s="120" t="inlineStr"/>
    </row>
    <row r="57">
      <c r="A57" s="6" t="inlineStr">
        <is>
          <t>Agentic AI workflow or tool-calling capability.</t>
        </is>
      </c>
      <c r="B57" s="6" t="inlineStr"/>
    </row>
    <row r="58">
      <c r="A58" s="120" t="inlineStr">
        <is>
          <t>Regulatory, audit or third-party risk review.</t>
        </is>
      </c>
      <c r="B58" s="120" t="inlineStr"/>
    </row>
    <row r="59">
      <c r="A59" s="6" t="inlineStr">
        <is>
          <t>A change to the system's purpose, users, deployment region or languages, or its data sources (also review its impact assessment, AI-CTRL-042).</t>
        </is>
      </c>
      <c r="B59" s="6" t="inlineStr"/>
    </row>
    <row r="60">
      <c r="A60" s="120" t="inlineStr">
        <is>
          <t>A material incident, or monitoring that shows the system operating outside its validated boundaries.</t>
        </is>
      </c>
      <c r="B60" s="120" t="inlineStr"/>
    </row>
    <row r="61">
      <c r="A61" s="6" t="inlineStr">
        <is>
          <t>A provider notice of a price change, licence change or model retirement.</t>
        </is>
      </c>
      <c r="B61" s="6" t="inlineStr"/>
    </row>
    <row r="62">
      <c r="A62" s="120" t="inlineStr">
        <is>
          <t>Controls that have not been re-verified since the system last changed.</t>
        </is>
      </c>
      <c r="B62" s="120" t="inlineStr"/>
    </row>
    <row r="63"/>
    <row r="64">
      <c r="A64" s="119" t="inlineStr">
        <is>
          <t>Communication and consultation (wiki)</t>
        </is>
      </c>
      <c r="B64" s="118" t="n"/>
      <c r="C64" s="118" t="n"/>
      <c r="D64" s="118" t="n"/>
      <c r="E64" s="118" t="n"/>
      <c r="F64" s="118" t="n"/>
      <c r="G64" s="118" t="n"/>
      <c r="H64" s="118" t="n"/>
    </row>
    <row r="65">
      <c r="A65" s="6" t="inlineStr">
        <is>
          <t>Consult</t>
        </is>
      </c>
      <c r="B65" s="6" t="inlineStr">
        <is>
          <t>Business owner, data owner, security architecture, privacy, legal, operating teams and, for systems that affect people, representatives of those affected. Record who and what changed in "Consulted".</t>
        </is>
      </c>
    </row>
    <row r="66">
      <c r="A66" s="120" t="inlineStr">
        <is>
          <t>Report</t>
        </is>
      </c>
      <c r="B66" s="120" t="inlineStr">
        <is>
          <t>Outcome to the risk owner; High and Critical risks also to the AI Governance Committee.</t>
        </is>
      </c>
    </row>
    <row r="67"/>
    <row r="68">
      <c r="A68" s="119" t="inlineStr">
        <is>
          <t>Alignment with ISO/IEC 23894 (wiki)</t>
        </is>
      </c>
      <c r="B68" s="118" t="n"/>
      <c r="C68" s="118" t="n"/>
      <c r="D68" s="118" t="n"/>
      <c r="E68" s="118" t="n"/>
      <c r="F68" s="118" t="n"/>
      <c r="G68" s="118" t="n"/>
      <c r="H68" s="118" t="n"/>
    </row>
    <row r="69">
      <c r="A69" s="77" t="inlineStr">
        <is>
          <t>ISO/IEC 23894 clause</t>
        </is>
      </c>
      <c r="B69" s="77" t="inlineStr">
        <is>
          <t>Where it is done</t>
        </is>
      </c>
    </row>
    <row r="70">
      <c r="A70" s="120" t="inlineStr">
        <is>
          <t>6.2 Communication and consultation</t>
        </is>
      </c>
      <c r="B70" s="120" t="inlineStr">
        <is>
          <t>Communication and Consultation, above</t>
        </is>
      </c>
    </row>
    <row r="71">
      <c r="A71" s="6" t="inlineStr">
        <is>
          <t>6.3 Scope, context and criteria</t>
        </is>
      </c>
      <c r="B71" s="6" t="inlineStr">
        <is>
          <t>Risk Appetite and Criteria, and Risk Scale, above; AI Use-Case Risk Triage</t>
        </is>
      </c>
    </row>
    <row r="72">
      <c r="A72" s="120" t="inlineStr">
        <is>
          <t>6.4.2 Risk identification</t>
        </is>
      </c>
      <c r="B72" s="120" t="inlineStr">
        <is>
          <t>AI Use-Case Risk Triage; Enterprise AI Risk Register</t>
        </is>
      </c>
    </row>
    <row r="73">
      <c r="A73" s="6" t="inlineStr">
        <is>
          <t>6.4.3 Risk analysis and 6.4.4 Risk evaluation</t>
        </is>
      </c>
      <c r="B73" s="6" t="inlineStr">
        <is>
          <t>Rating Factors and Risk Scale, above</t>
        </is>
      </c>
    </row>
    <row r="74">
      <c r="A74" s="120" t="inlineStr">
        <is>
          <t>6.5 Risk treatment</t>
        </is>
      </c>
      <c r="B74" s="120" t="inlineStr">
        <is>
          <t>AI Risk Treatment Plan; AI Risk to Control Mapping</t>
        </is>
      </c>
    </row>
    <row r="75">
      <c r="A75" s="6" t="inlineStr">
        <is>
          <t>6.6 Monitoring and review</t>
        </is>
      </c>
      <c r="B75" s="6" t="inlineStr">
        <is>
          <t>Review Triggers, above; AI Risk Review Template</t>
        </is>
      </c>
    </row>
    <row r="76">
      <c r="A76" s="120" t="inlineStr">
        <is>
          <t>6.7 Recording and reporting</t>
        </is>
      </c>
      <c r="B76" s="120" t="inlineStr">
        <is>
          <t>Required Fields for New AI Risk Entry, above; Risk, Control and Test Traceability</t>
        </is>
      </c>
    </row>
  </sheetData>
  <pageMargins left="0.75" right="0.75" top="1" bottom="1" header="0.5" footer="0.5"/>
</worksheet>
</file>

<file path=xl/worksheets/sheet8.xml><?xml version="1.0" encoding="utf-8"?>
<worksheet xmlns="http://schemas.openxmlformats.org/spreadsheetml/2006/main">
  <sheetPr>
    <tabColor rgb="00C55A11"/>
    <outlinePr summaryBelow="1" summaryRight="1"/>
    <pageSetUpPr/>
  </sheetPr>
  <dimension ref="A1:I37"/>
  <sheetViews>
    <sheetView showGridLines="0" workbookViewId="0">
      <pane ySplit="3" topLeftCell="A4" activePane="bottomLeft" state="frozen"/>
      <selection pane="bottomLeft" activeCell="A1" sqref="A1"/>
    </sheetView>
  </sheetViews>
  <sheetFormatPr baseColWidth="8" defaultRowHeight="15"/>
  <cols>
    <col width="14" customWidth="1" min="1" max="1"/>
    <col width="16" customWidth="1" min="2" max="2"/>
    <col width="70" customWidth="1" min="3" max="3"/>
    <col width="10" customWidth="1" min="4" max="4"/>
    <col width="18" customWidth="1" min="5" max="5"/>
    <col width="18" customWidth="1" min="6" max="6"/>
    <col width="42" customWidth="1" min="7" max="7"/>
    <col width="18" customWidth="1" min="8" max="8"/>
    <col width="50" customWidth="1" min="9" max="9"/>
  </cols>
  <sheetData>
    <row r="1" ht="30" customHeight="1">
      <c r="A1" s="121" t="inlineStr">
        <is>
          <t>Settings: scales, rating bands and risk criteria</t>
        </is>
      </c>
      <c r="B1" s="122" t="n"/>
      <c r="C1" s="122" t="n"/>
      <c r="D1" s="122" t="n"/>
      <c r="E1" s="122" t="n"/>
      <c r="F1" s="122" t="n"/>
      <c r="G1" s="122" t="n"/>
      <c r="H1" s="122" t="n"/>
      <c r="I1" s="122" t="n"/>
    </row>
    <row r="2">
      <c r="A2" s="3" t="inlineStr">
        <is>
          <t>Orange cells are workbook defaults, not wiki or standard values. The governing body should approve them as the risk criteria (AI Risk Methodology, Risk Appetite and Criteria).</t>
        </is>
      </c>
    </row>
    <row r="3"/>
    <row r="4">
      <c r="A4" s="123" t="inlineStr">
        <is>
          <t>Likelihood scale</t>
        </is>
      </c>
    </row>
    <row r="5">
      <c r="A5" s="76" t="inlineStr">
        <is>
          <t>Score</t>
        </is>
      </c>
      <c r="B5" s="76" t="inlineStr">
        <is>
          <t>Level</t>
        </is>
      </c>
      <c r="C5" s="76" t="inlineStr">
        <is>
          <t>Definition (workbook default)</t>
        </is>
      </c>
    </row>
    <row r="6">
      <c r="A6" s="124" t="n">
        <v>1</v>
      </c>
      <c r="B6" s="125" t="inlineStr">
        <is>
          <t>Low</t>
        </is>
      </c>
      <c r="C6" s="113" t="inlineStr">
        <is>
          <t>Unlikely in the next three years, or needs unusual conditions or a skilled, motivated attacker; strong controls in place.</t>
        </is>
      </c>
    </row>
    <row r="7">
      <c r="A7" s="100" t="n">
        <v>2</v>
      </c>
      <c r="B7" s="126" t="inlineStr">
        <is>
          <t>Medium</t>
        </is>
      </c>
      <c r="C7" s="113" t="inlineStr">
        <is>
          <t>Could happen within one to three years; the exposure exists and controls are partial.</t>
        </is>
      </c>
    </row>
    <row r="8">
      <c r="A8" s="124" t="n">
        <v>3</v>
      </c>
      <c r="B8" s="62" t="inlineStr">
        <is>
          <t>High</t>
        </is>
      </c>
      <c r="C8" s="113" t="inlineStr">
        <is>
          <t>Likely within a year; the AI use is widespread, the path is known or the controls are weak.</t>
        </is>
      </c>
    </row>
    <row r="9">
      <c r="A9" s="100" t="n">
        <v>4</v>
      </c>
      <c r="B9" s="127" t="inlineStr">
        <is>
          <t>Very High</t>
        </is>
      </c>
      <c r="C9" s="113" t="inlineStr">
        <is>
          <t>Expected within months, or already happening (for example, observed in monitoring or incidents).</t>
        </is>
      </c>
    </row>
    <row r="10"/>
    <row r="11">
      <c r="A11" s="123" t="inlineStr">
        <is>
          <t>Impact scale</t>
        </is>
      </c>
    </row>
    <row r="12">
      <c r="A12" s="76" t="inlineStr">
        <is>
          <t>Score</t>
        </is>
      </c>
      <c r="B12" s="76" t="inlineStr">
        <is>
          <t>Level</t>
        </is>
      </c>
      <c r="C12" s="76" t="inlineStr">
        <is>
          <t>Definition (wiki Risk Scale wording, applied to impact)</t>
        </is>
      </c>
    </row>
    <row r="13">
      <c r="A13" s="100" t="n">
        <v>1</v>
      </c>
      <c r="B13" s="125" t="inlineStr">
        <is>
          <t>Low</t>
        </is>
      </c>
      <c r="C13" s="6" t="inlineStr">
        <is>
          <t>Limited likelihood or business impact; existing controls generally sufficient.</t>
        </is>
      </c>
    </row>
    <row r="14">
      <c r="A14" s="124" t="n">
        <v>2</v>
      </c>
      <c r="B14" s="126" t="inlineStr">
        <is>
          <t>Medium</t>
        </is>
      </c>
      <c r="C14" s="128" t="inlineStr">
        <is>
          <t>Possible risk affecting sensitive information, compliance or business processes; monitoring or governance may be required.</t>
        </is>
      </c>
    </row>
    <row r="15">
      <c r="A15" s="100" t="n">
        <v>3</v>
      </c>
      <c r="B15" s="62" t="inlineStr">
        <is>
          <t>High</t>
        </is>
      </c>
      <c r="C15" s="6" t="inlineStr">
        <is>
          <t>Likely or significant impact; additional controls, monitoring or enforcement required.</t>
        </is>
      </c>
    </row>
    <row r="16">
      <c r="A16" s="124" t="n">
        <v>4</v>
      </c>
      <c r="B16" s="127" t="inlineStr">
        <is>
          <t>Critical</t>
        </is>
      </c>
      <c r="C16" s="128" t="inlineStr">
        <is>
          <t>May affect critical infrastructure, restricted data, regulatory obligations or operational continuity; strong preventive and detective controls required.</t>
        </is>
      </c>
    </row>
    <row r="17"/>
    <row r="18">
      <c r="A18" s="123" t="inlineStr">
        <is>
          <t>Rating bands and actions (score = likelihood x impact, 1 to 16)</t>
        </is>
      </c>
    </row>
    <row r="19">
      <c r="A19" s="76" t="inlineStr">
        <is>
          <t>Rating</t>
        </is>
      </c>
      <c r="B19" s="76" t="inlineStr">
        <is>
          <t>Min score</t>
        </is>
      </c>
      <c r="C19" s="76" t="inlineStr">
        <is>
          <t>Max score</t>
        </is>
      </c>
      <c r="D19" s="76" t="inlineStr">
        <is>
          <t>Rank</t>
        </is>
      </c>
      <c r="E19" s="76" t="inlineStr">
        <is>
          <t>Mitigation deadline (days)</t>
        </is>
      </c>
      <c r="F19" s="76" t="inlineStr">
        <is>
          <t>Review interval (months)</t>
        </is>
      </c>
      <c r="G19" s="76" t="inlineStr">
        <is>
          <t>Who may accept residual risk</t>
        </is>
      </c>
      <c r="H19" s="76" t="inlineStr">
        <is>
          <t>Max acceptance period (months)</t>
        </is>
      </c>
      <c r="I19" s="76" t="inlineStr">
        <is>
          <t>Action required</t>
        </is>
      </c>
    </row>
    <row r="20">
      <c r="A20" s="26" t="inlineStr">
        <is>
          <t>Low</t>
        </is>
      </c>
      <c r="B20" s="129" t="n">
        <v>1</v>
      </c>
      <c r="C20" s="129" t="n">
        <v>2</v>
      </c>
      <c r="D20" s="124" t="n">
        <v>1</v>
      </c>
      <c r="E20" s="129" t="n">
        <v>365</v>
      </c>
      <c r="F20" s="129" t="n">
        <v>12</v>
      </c>
      <c r="G20" s="113" t="inlineStr">
        <is>
          <t>Risk owner</t>
        </is>
      </c>
      <c r="H20" s="129" t="n">
        <v>12</v>
      </c>
      <c r="I20" s="113" t="inlineStr">
        <is>
          <t>Manage through routine processes; review annually.</t>
        </is>
      </c>
    </row>
    <row r="21">
      <c r="A21" s="24" t="inlineStr">
        <is>
          <t>Medium</t>
        </is>
      </c>
      <c r="B21" s="129" t="n">
        <v>3</v>
      </c>
      <c r="C21" s="129" t="n">
        <v>4</v>
      </c>
      <c r="D21" s="100" t="n">
        <v>2</v>
      </c>
      <c r="E21" s="129" t="n">
        <v>180</v>
      </c>
      <c r="F21" s="129" t="n">
        <v>12</v>
      </c>
      <c r="G21" s="113" t="inlineStr">
        <is>
          <t>Risk owner, with GRC / Compliance agreement</t>
        </is>
      </c>
      <c r="H21" s="129" t="n">
        <v>12</v>
      </c>
      <c r="I21" s="113" t="inlineStr">
        <is>
          <t>Reduce where practical; monitor; report in the regular risk report.</t>
        </is>
      </c>
    </row>
    <row r="22">
      <c r="A22" s="22" t="inlineStr">
        <is>
          <t>High</t>
        </is>
      </c>
      <c r="B22" s="129" t="n">
        <v>6</v>
      </c>
      <c r="C22" s="129" t="n">
        <v>9</v>
      </c>
      <c r="D22" s="124" t="n">
        <v>3</v>
      </c>
      <c r="E22" s="129" t="n">
        <v>90</v>
      </c>
      <c r="F22" s="129" t="n">
        <v>6</v>
      </c>
      <c r="G22" s="113" t="inlineStr">
        <is>
          <t>AI Governance Committee</t>
        </is>
      </c>
      <c r="H22" s="129" t="n">
        <v>6</v>
      </c>
      <c r="I22" s="113" t="inlineStr">
        <is>
          <t>Additional controls, monitoring or enforcement required; report to the AI Governance Committee.</t>
        </is>
      </c>
    </row>
    <row r="23">
      <c r="A23" s="18" t="inlineStr">
        <is>
          <t>Critical</t>
        </is>
      </c>
      <c r="B23" s="129" t="n">
        <v>12</v>
      </c>
      <c r="C23" s="129" t="n">
        <v>16</v>
      </c>
      <c r="D23" s="100" t="n">
        <v>4</v>
      </c>
      <c r="E23" s="129" t="n">
        <v>30</v>
      </c>
      <c r="F23" s="129" t="n">
        <v>3</v>
      </c>
      <c r="G23" s="113" t="inlineStr">
        <is>
          <t>Governing body or accountable executive, on the AI Governance Committee's recommendation</t>
        </is>
      </c>
      <c r="H23" s="129" t="n">
        <v>3</v>
      </c>
      <c r="I23" s="113" t="inlineStr">
        <is>
          <t>Strong preventive and detective controls required before or immediately after go-live; report to the AI Governance Committee and the governing body.</t>
        </is>
      </c>
    </row>
    <row r="24"/>
    <row r="25" ht="28" customHeight="1">
      <c r="A25" s="130" t="inlineStr">
        <is>
          <t>Note: scores 5, 7, 10, 11, 13, 14 and 15 cannot occur with a 4 x 4 scale. Each band starts at "Min score" and runs to the next band's minimum, so there is no gap. Keep the minimums in ascending order.</t>
        </is>
      </c>
    </row>
    <row r="26"/>
    <row r="27">
      <c r="A27" s="123" t="inlineStr">
        <is>
          <t>Risk criteria</t>
        </is>
      </c>
    </row>
    <row r="28" ht="30" customHeight="1">
      <c r="A28" s="131" t="inlineStr">
        <is>
          <t>Highest residual rating acceptable within appetite</t>
        </is>
      </c>
      <c r="B28" s="132" t="n"/>
      <c r="C28" s="113" t="inlineStr">
        <is>
          <t>Medium</t>
        </is>
      </c>
      <c r="D28" s="128" t="n"/>
      <c r="E28" s="128" t="inlineStr">
        <is>
          <t>Above this, a residual risk is outside appetite and needs acceptance by the authority above, with an expiry date.</t>
        </is>
      </c>
      <c r="F28" s="133" t="n"/>
      <c r="G28" s="133" t="n"/>
      <c r="H28" s="133" t="n"/>
      <c r="I28" s="132" t="n"/>
    </row>
    <row r="29" ht="30" customHeight="1">
      <c r="A29" s="5" t="inlineStr">
        <is>
          <t>Rating at or above which the risk is reported to the AI Governance Committee</t>
        </is>
      </c>
      <c r="B29" s="132" t="n"/>
      <c r="C29" s="6" t="inlineStr">
        <is>
          <t>High</t>
        </is>
      </c>
      <c r="D29" s="6" t="n"/>
      <c r="E29" s="6" t="inlineStr">
        <is>
          <t>Wiki: report the outcome to the AI Governance Committee for High and Critical risks (AI Risk Methodology, Communication and Consultation).</t>
        </is>
      </c>
      <c r="F29" s="133" t="n"/>
      <c r="G29" s="133" t="n"/>
      <c r="H29" s="133" t="n"/>
      <c r="I29" s="132" t="n"/>
    </row>
    <row r="30" ht="30" customHeight="1">
      <c r="A30" s="131" t="inlineStr">
        <is>
          <t>"Deadline approaching" warning window (days)</t>
        </is>
      </c>
      <c r="B30" s="132" t="n"/>
      <c r="C30" s="113" t="n">
        <v>30</v>
      </c>
      <c r="D30" s="128" t="n"/>
      <c r="E30" s="128" t="inlineStr">
        <is>
          <t>Days before the mitigation deadline when the alert changes from "On track" to "Deadline approaching".</t>
        </is>
      </c>
      <c r="F30" s="133" t="n"/>
      <c r="G30" s="133" t="n"/>
      <c r="H30" s="133" t="n"/>
      <c r="I30" s="132" t="n"/>
    </row>
    <row r="31"/>
    <row r="32">
      <c r="A32" s="123" t="inlineStr">
        <is>
          <t>Existing control coverage levels (workbook default)</t>
        </is>
      </c>
    </row>
    <row r="33">
      <c r="A33" s="76" t="inlineStr">
        <is>
          <t>Level</t>
        </is>
      </c>
      <c r="B33" s="76" t="inlineStr">
        <is>
          <t>Meaning</t>
        </is>
      </c>
    </row>
    <row r="34">
      <c r="A34" s="18" t="inlineStr">
        <is>
          <t>None</t>
        </is>
      </c>
      <c r="B34" s="113" t="inlineStr">
        <is>
          <t>No control addresses this risk, or it is planned only.</t>
        </is>
      </c>
      <c r="C34" s="133" t="n"/>
      <c r="D34" s="133" t="n"/>
      <c r="E34" s="133" t="n"/>
      <c r="F34" s="133" t="n"/>
      <c r="G34" s="132" t="n"/>
    </row>
    <row r="35">
      <c r="A35" s="22" t="inlineStr">
        <is>
          <t>Weak</t>
        </is>
      </c>
      <c r="B35" s="113" t="inlineStr">
        <is>
          <t>A control exists but covers only part of the path, or has not been tested.</t>
        </is>
      </c>
      <c r="C35" s="133" t="n"/>
      <c r="D35" s="133" t="n"/>
      <c r="E35" s="133" t="n"/>
      <c r="F35" s="133" t="n"/>
      <c r="G35" s="132" t="n"/>
    </row>
    <row r="36">
      <c r="A36" s="24" t="inlineStr">
        <is>
          <t>Partial</t>
        </is>
      </c>
      <c r="B36" s="113" t="inlineStr">
        <is>
          <t>Controls cover the main path and have been tested, but there are known gaps or no evidence of operation over time.</t>
        </is>
      </c>
      <c r="C36" s="133" t="n"/>
      <c r="D36" s="133" t="n"/>
      <c r="E36" s="133" t="n"/>
      <c r="F36" s="133" t="n"/>
      <c r="G36" s="132" t="n"/>
    </row>
    <row r="37">
      <c r="A37" s="26" t="inlineStr">
        <is>
          <t>Effective</t>
        </is>
      </c>
      <c r="B37" s="113" t="inlineStr">
        <is>
          <t>Controls cover the path, are tested, and current evidence shows they operate (see AI-CTRL-038).</t>
        </is>
      </c>
      <c r="C37" s="133" t="n"/>
      <c r="D37" s="133" t="n"/>
      <c r="E37" s="133" t="n"/>
      <c r="F37" s="133" t="n"/>
      <c r="G37" s="132" t="n"/>
    </row>
  </sheetData>
  <mergeCells count="11">
    <mergeCell ref="A25:I25"/>
    <mergeCell ref="A30:B30"/>
    <mergeCell ref="E30:I30"/>
    <mergeCell ref="E29:I29"/>
    <mergeCell ref="A29:B29"/>
    <mergeCell ref="B34:G34"/>
    <mergeCell ref="B36:G36"/>
    <mergeCell ref="B37:G37"/>
    <mergeCell ref="E28:I28"/>
    <mergeCell ref="A28:B28"/>
    <mergeCell ref="B35:G35"/>
  </mergeCells>
  <dataValidations count="1">
    <dataValidation sqref="C28 C29" showDropDown="0" showInputMessage="0" showErrorMessage="0" allowBlank="0" type="list">
      <formula1>Lists!$K$2:$K$5</formula1>
    </dataValidation>
  </dataValidations>
  <pageMargins left="0.75" right="0.75" top="1" bottom="1" header="0.5" footer="0.5"/>
</worksheet>
</file>

<file path=xl/worksheets/sheet9.xml><?xml version="1.0" encoding="utf-8"?>
<worksheet xmlns="http://schemas.openxmlformats.org/spreadsheetml/2006/main">
  <sheetPr>
    <tabColor rgb="002F5597"/>
    <outlinePr summaryBelow="1" summaryRight="1"/>
    <pageSetUpPr/>
  </sheetPr>
  <dimension ref="A1:M5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9" customWidth="1" min="3" max="3"/>
    <col width="70" customWidth="1" min="4" max="4"/>
    <col width="12" customWidth="1" min="5" max="5"/>
    <col width="12" customWidth="1" min="6" max="6"/>
    <col width="12" customWidth="1" min="7" max="7"/>
    <col width="10" customWidth="1" min="8" max="8"/>
    <col width="50" customWidth="1" min="9" max="9"/>
    <col width="40" customWidth="1" min="10" max="10"/>
    <col width="40" customWidth="1" min="11" max="11"/>
    <col width="30" customWidth="1" min="12" max="12"/>
    <col width="30" customWidth="1" min="13" max="13"/>
  </cols>
  <sheetData>
    <row r="1" ht="30" customHeight="1">
      <c r="A1" s="66" t="inlineStr">
        <is>
          <t>AI Risk Library (reference copy of the wiki register)</t>
        </is>
      </c>
      <c r="B1" s="67" t="n"/>
      <c r="C1" s="67" t="n"/>
      <c r="D1" s="67" t="n"/>
      <c r="E1" s="67" t="n"/>
      <c r="F1" s="67" t="n"/>
      <c r="G1" s="67" t="n"/>
      <c r="H1" s="67" t="n"/>
      <c r="I1" s="67" t="n"/>
      <c r="J1" s="67" t="n"/>
      <c r="K1" s="67" t="n"/>
      <c r="L1" s="67" t="n"/>
      <c r="M1" s="67" t="n"/>
    </row>
    <row r="2">
      <c r="A2" s="3" t="inlineStr">
        <is>
          <t>Source: Enterprise AI Risk Register and AI Risk Map Crosswalk, AI Security Wiki, as of 29 October 2026. Do not edit; use the register sheet.</t>
        </is>
      </c>
    </row>
    <row r="3"/>
    <row r="4">
      <c r="A4" s="74" t="inlineStr">
        <is>
          <t>Risk ID</t>
        </is>
      </c>
      <c r="B4" s="74" t="inlineStr">
        <is>
          <t>Risk Area</t>
        </is>
      </c>
      <c r="C4" s="74" t="inlineStr">
        <is>
          <t>Owner Domain</t>
        </is>
      </c>
      <c r="D4" s="74" t="inlineStr">
        <is>
          <t>Narrative</t>
        </is>
      </c>
      <c r="E4" s="74" t="inlineStr">
        <is>
          <t>Wiki Example Likelihood</t>
        </is>
      </c>
      <c r="F4" s="74" t="inlineStr">
        <is>
          <t>Wiki Example Impact</t>
        </is>
      </c>
      <c r="G4" s="74" t="inlineStr">
        <is>
          <t>Wiki Example Residual</t>
        </is>
      </c>
      <c r="H4" s="74" t="inlineStr">
        <is>
          <t>Wiki Example Priority</t>
        </is>
      </c>
      <c r="I4" s="74" t="inlineStr">
        <is>
          <t>AI Risk Map categories (match)</t>
        </is>
      </c>
      <c r="J4" s="74" t="inlineStr">
        <is>
          <t>NIST AI 600-1 risks (match)</t>
        </is>
      </c>
      <c r="K4" s="74" t="inlineStr">
        <is>
          <t>OWASP MCP Top 10 (match)</t>
        </is>
      </c>
      <c r="L4" s="74" t="inlineStr">
        <is>
          <t>Controls</t>
        </is>
      </c>
      <c r="M4" s="74" t="inlineStr">
        <is>
          <t>Source</t>
        </is>
      </c>
    </row>
    <row r="5" ht="90" customHeight="1">
      <c r="A5" s="6" t="inlineStr">
        <is>
          <t>AI-R01</t>
        </is>
      </c>
      <c r="B5" s="6" t="inlineStr">
        <is>
          <t>Critical Infrastructure Information Exposure</t>
        </is>
      </c>
      <c r="C5" s="134" t="inlineStr">
        <is>
          <t>03</t>
        </is>
      </c>
      <c r="D5" s="6" t="inlineStr">
        <is>
          <t>Users may submit sensitive infrastructure, architecture, security, operational or business information into AI tools for summarization, translation, troubleshooting or code support. Required controls include prompt inspection, upload inspection, classification-aware policy enforcement, audit logging and SOC alerting.</t>
        </is>
      </c>
      <c r="E5" s="6" t="inlineStr">
        <is>
          <t>High</t>
        </is>
      </c>
      <c r="F5" s="6" t="inlineStr">
        <is>
          <t>Critical</t>
        </is>
      </c>
      <c r="G5" s="6" t="inlineStr">
        <is>
          <t>Critical</t>
        </is>
      </c>
      <c r="H5" s="6" t="n">
        <v>1</v>
      </c>
      <c r="I5" s="6" t="inlineStr">
        <is>
          <t>None</t>
        </is>
      </c>
      <c r="J5" s="6" t="inlineStr">
        <is>
          <t>None</t>
        </is>
      </c>
      <c r="K5" s="6" t="inlineStr">
        <is>
          <t>None</t>
        </is>
      </c>
      <c r="L5" s="6" t="inlineStr">
        <is>
          <t>AI-CTRL-002, AI-CTRL-003, AI-CTRL-010, AI-CTRL-017</t>
        </is>
      </c>
      <c r="M5" s="6" t="inlineStr">
        <is>
          <t>https://nachi065.github.io/AI-Security-Wiki/02_Risk_Management/02B_Enterprise_AI_Risk_Register.html</t>
        </is>
      </c>
    </row>
    <row r="6" ht="90" customHeight="1">
      <c r="A6" s="135" t="inlineStr">
        <is>
          <t>AI-R02</t>
        </is>
      </c>
      <c r="B6" s="135" t="inlineStr">
        <is>
          <t>Shadow AI and Ungoverned AI Usage</t>
        </is>
      </c>
      <c r="C6" s="136" t="inlineStr">
        <is>
          <t>01</t>
        </is>
      </c>
      <c r="D6" s="135" t="inlineStr">
        <is>
          <t>Unapproved AI use may occur through public AI sites, browser extensions, IDE plugins, SaaS features, APIs or desktop AI applications. Required controls include AI discovery, tool classification, allow/monitor/warn/block policy, endpoint visibility and reporting.</t>
        </is>
      </c>
      <c r="E6" s="135" t="inlineStr">
        <is>
          <t>High</t>
        </is>
      </c>
      <c r="F6" s="135" t="inlineStr">
        <is>
          <t>High</t>
        </is>
      </c>
      <c r="G6" s="135" t="inlineStr">
        <is>
          <t>High</t>
        </is>
      </c>
      <c r="H6" s="135" t="n">
        <v>2</v>
      </c>
      <c r="I6" s="135" t="inlineStr">
        <is>
          <t>01 Governance and oversight (Partial); 01 Policy and standards (Partial); 07 MLOps and deployment (Direct)</t>
        </is>
      </c>
      <c r="J6" s="135" t="inlineStr">
        <is>
          <t>None</t>
        </is>
      </c>
      <c r="K6" s="135" t="inlineStr">
        <is>
          <t>MCP09:2025 Shadow MCP Servers (Partial)</t>
        </is>
      </c>
      <c r="L6" s="135" t="inlineStr">
        <is>
          <t>AI-CTRL-001, AI-CTRL-010, AI-CTRL-011, AI-CTRL-012, AI-CTRL-037, AI-CTRL-044</t>
        </is>
      </c>
      <c r="M6" s="135" t="inlineStr">
        <is>
          <t>https://nachi065.github.io/AI-Security-Wiki/02_Risk_Management/02B_Enterprise_AI_Risk_Register.html</t>
        </is>
      </c>
    </row>
    <row r="7" ht="90" customHeight="1">
      <c r="A7" s="6" t="inlineStr">
        <is>
          <t>AI-R03</t>
        </is>
      </c>
      <c r="B7" s="6" t="inlineStr">
        <is>
          <t>Sensitive Data Leakage Through Prompts and Uploads</t>
        </is>
      </c>
      <c r="C7" s="134" t="inlineStr">
        <is>
          <t>03</t>
        </is>
      </c>
      <c r="D7" s="6" t="inlineStr">
        <is>
          <t>AI interactions can contain confidential data, personal data, credentials, source code, logs and business documents. Required controls include sensitive data detection, redaction/masking/warning/blocking and evidence generation.</t>
        </is>
      </c>
      <c r="E7" s="6" t="inlineStr">
        <is>
          <t>High</t>
        </is>
      </c>
      <c r="F7" s="6" t="inlineStr">
        <is>
          <t>Critical</t>
        </is>
      </c>
      <c r="G7" s="6" t="inlineStr">
        <is>
          <t>High</t>
        </is>
      </c>
      <c r="H7" s="6" t="n">
        <v>3</v>
      </c>
      <c r="I7" s="6" t="inlineStr">
        <is>
          <t>03 Privacy and consent (Direct)</t>
        </is>
      </c>
      <c r="J7" s="6" t="inlineStr">
        <is>
          <t>Data Privacy (Direct)</t>
        </is>
      </c>
      <c r="K7" s="6" t="inlineStr">
        <is>
          <t>None</t>
        </is>
      </c>
      <c r="L7" s="6" t="inlineStr">
        <is>
          <t>AI-CTRL-002, AI-CTRL-003, AI-CTRL-010, AI-CTRL-012, AI-CTRL-013, AI-CTRL-017, AI-CTRL-021</t>
        </is>
      </c>
      <c r="M7" s="6" t="inlineStr">
        <is>
          <t>https://nachi065.github.io/AI-Security-Wiki/02_Risk_Management/02B_Enterprise_AI_Risk_Register.html</t>
        </is>
      </c>
    </row>
    <row r="8" ht="90" customHeight="1">
      <c r="A8" s="135" t="inlineStr">
        <is>
          <t>AI-R04</t>
        </is>
      </c>
      <c r="B8" s="135" t="inlineStr">
        <is>
          <t>IDE-Based Source Code and Credential Exposure</t>
        </is>
      </c>
      <c r="C8" s="136" t="inlineStr">
        <is>
          <t>03</t>
        </is>
      </c>
      <c r="D8" s="135" t="inlineStr">
        <is>
          <t>AI coding assistants can expose source code, API keys, internal URLs, infrastructure-as-code and application logic. Required controls include IDE visibility, secret detection, source code protection and developer governance.</t>
        </is>
      </c>
      <c r="E8" s="135" t="inlineStr">
        <is>
          <t>Medium-High</t>
        </is>
      </c>
      <c r="F8" s="135" t="inlineStr">
        <is>
          <t>High</t>
        </is>
      </c>
      <c r="G8" s="135" t="inlineStr">
        <is>
          <t>High</t>
        </is>
      </c>
      <c r="H8" s="135" t="n">
        <v>4</v>
      </c>
      <c r="I8" s="135" t="inlineStr">
        <is>
          <t>None</t>
        </is>
      </c>
      <c r="J8" s="135" t="inlineStr">
        <is>
          <t>None</t>
        </is>
      </c>
      <c r="K8" s="135" t="inlineStr">
        <is>
          <t>None</t>
        </is>
      </c>
      <c r="L8" s="135" t="inlineStr">
        <is>
          <t>AI-CTRL-004</t>
        </is>
      </c>
      <c r="M8" s="135" t="inlineStr">
        <is>
          <t>https://nachi065.github.io/AI-Security-Wiki/02_Risk_Management/02B_Enterprise_AI_Risk_Register.html</t>
        </is>
      </c>
    </row>
    <row r="9" ht="90" customHeight="1">
      <c r="A9" s="6" t="inlineStr">
        <is>
          <t>AI-R05</t>
        </is>
      </c>
      <c r="B9" s="6" t="inlineStr">
        <is>
          <t>Prompt Injection Against Custom AI Applications</t>
        </is>
      </c>
      <c r="C9" s="134" t="inlineStr">
        <is>
          <t>05</t>
        </is>
      </c>
      <c r="D9" s="6" t="inlineStr">
        <is>
          <t>Custom AI applications, RAG systems and internal chatbots can be manipulated through direct or indirect prompt injection. Required controls include runtime inspection, RAG security validation, guardrails and output filtering.</t>
        </is>
      </c>
      <c r="E9" s="6" t="inlineStr">
        <is>
          <t>Medium</t>
        </is>
      </c>
      <c r="F9" s="6" t="inlineStr">
        <is>
          <t>Critical</t>
        </is>
      </c>
      <c r="G9" s="6" t="inlineStr">
        <is>
          <t>High</t>
        </is>
      </c>
      <c r="H9" s="6" t="n">
        <v>5</v>
      </c>
      <c r="I9" s="6" t="inlineStr">
        <is>
          <t>05 Data and pipeline attacks (Direct); 05 Inference-time (input) attacks (Direct)</t>
        </is>
      </c>
      <c r="J9" s="6" t="inlineStr">
        <is>
          <t>Information Security (Partial)</t>
        </is>
      </c>
      <c r="K9" s="6" t="inlineStr">
        <is>
          <t>MCP06:2025 Prompt Injection via Contextual Payloads (Direct)</t>
        </is>
      </c>
      <c r="L9" s="6" t="inlineStr">
        <is>
          <t>AI-CTRL-005, AI-CTRL-019, AI-CTRL-020, AI-CTRL-021, AI-CTRL-026, AI-CTRL-033, AI-CTRL-034</t>
        </is>
      </c>
      <c r="M9" s="6" t="inlineStr">
        <is>
          <t>https://nachi065.github.io/AI-Security-Wiki/02_Risk_Management/02B_Enterprise_AI_Risk_Register.html</t>
        </is>
      </c>
    </row>
    <row r="10" ht="90" customHeight="1">
      <c r="A10" s="135" t="inlineStr">
        <is>
          <t>AI-R06</t>
        </is>
      </c>
      <c r="B10" s="135" t="inlineStr">
        <is>
          <t>AI Output Leakage and Oversharing</t>
        </is>
      </c>
      <c r="C10" s="136" t="inlineStr">
        <is>
          <t>05</t>
        </is>
      </c>
      <c r="D10" s="135" t="inlineStr">
        <is>
          <t>AI responses may aggregate or expose information beyond the intended context due to permission hygiene, weak retrieval controls or prompt manipulation. Required controls include output inspection, source-document logging and permission-aware response governance.</t>
        </is>
      </c>
      <c r="E10" s="135" t="inlineStr">
        <is>
          <t>Medium</t>
        </is>
      </c>
      <c r="F10" s="135" t="inlineStr">
        <is>
          <t>High</t>
        </is>
      </c>
      <c r="G10" s="135" t="inlineStr">
        <is>
          <t>High</t>
        </is>
      </c>
      <c r="H10" s="135" t="n">
        <v>6</v>
      </c>
      <c r="I10" s="135" t="inlineStr">
        <is>
          <t>03 Privacy and consent (Direct); 05 Output and integration security (Direct); 05 AI access and identity (Direct)</t>
        </is>
      </c>
      <c r="J10" s="135" t="inlineStr">
        <is>
          <t>Data Privacy (Direct)</t>
        </is>
      </c>
      <c r="K10" s="135" t="inlineStr">
        <is>
          <t>MCP10:2025 Context Injection &amp; Over-Sharing (Partial)</t>
        </is>
      </c>
      <c r="L10" s="135" t="inlineStr">
        <is>
          <t>AI-CTRL-005, AI-CTRL-016, AI-CTRL-017, AI-CTRL-018, AI-CTRL-020</t>
        </is>
      </c>
      <c r="M10" s="135" t="inlineStr">
        <is>
          <t>https://nachi065.github.io/AI-Security-Wiki/02_Risk_Management/02B_Enterprise_AI_Risk_Register.html</t>
        </is>
      </c>
    </row>
    <row r="11" ht="90" customHeight="1">
      <c r="A11" s="6" t="inlineStr">
        <is>
          <t>AI-R07</t>
        </is>
      </c>
      <c r="B11" s="6" t="inlineStr">
        <is>
          <t>AI Agent and Tool-Calling Abuse</t>
        </is>
      </c>
      <c r="C11" s="134" t="inlineStr">
        <is>
          <t>12</t>
        </is>
      </c>
      <c r="D11" s="6" t="inlineStr">
        <is>
          <t>Agents can call tools, APIs and workflows. Risks include excessive privilege, unauthorized action, tool misuse, MCP compromise and insufficient traceability. Required controls include identity, least privilege, approvals, tool governance and action logging.</t>
        </is>
      </c>
      <c r="E11" s="6" t="inlineStr">
        <is>
          <t>Medium</t>
        </is>
      </c>
      <c r="F11" s="6" t="inlineStr">
        <is>
          <t>Critical</t>
        </is>
      </c>
      <c r="G11" s="6" t="inlineStr">
        <is>
          <t>Critical</t>
        </is>
      </c>
      <c r="H11" s="6" t="n">
        <v>7</v>
      </c>
      <c r="I11" s="6" t="inlineStr">
        <is>
          <t>05 Output and integration security (Direct); 12 Autonomy, alignment and oversight (Direct); 12 Tool access and authorization (Direct); 12 Action integrity and traceability (Direct)</t>
        </is>
      </c>
      <c r="J11" s="6" t="inlineStr">
        <is>
          <t>Information Security (Partial)</t>
        </is>
      </c>
      <c r="K11" s="6" t="inlineStr">
        <is>
          <t>MCP02:2025 Privilege Escalation via Scope Creep (Direct); MCP07:2025 Insufficient Authentication &amp; Authorization (Direct)</t>
        </is>
      </c>
      <c r="L11" s="6" t="inlineStr">
        <is>
          <t>AI-CTRL-006, AI-CTRL-015, AI-CTRL-016, AI-CTRL-022, AI-CTRL-023, AI-CTRL-024, AI-CTRL-025, AI-CTRL-026, AI-CTRL-027, AI-CTRL-033, AI-CTRL-034, AI-CTRL-045</t>
        </is>
      </c>
      <c r="M11" s="6" t="inlineStr">
        <is>
          <t>https://nachi065.github.io/AI-Security-Wiki/02_Risk_Management/02B_Enterprise_AI_Risk_Register.html</t>
        </is>
      </c>
    </row>
    <row r="12" ht="90" customHeight="1">
      <c r="A12" s="135" t="inlineStr">
        <is>
          <t>AI-R08</t>
        </is>
      </c>
      <c r="B12" s="135" t="inlineStr">
        <is>
          <t>AI Supply Chain and Model Integrity Risk</t>
        </is>
      </c>
      <c r="C12" s="136" t="inlineStr">
        <is>
          <t>09</t>
        </is>
      </c>
      <c r="D12" s="135" t="inlineStr">
        <is>
          <t>AI applications rely on models, libraries, datasets, plugins, extensions and MCP servers. Required controls include AI asset inventory, model inventory, AI BOM, model scanning, plugin governance and vulnerability integration.</t>
        </is>
      </c>
      <c r="E12" s="135" t="inlineStr">
        <is>
          <t>Medium</t>
        </is>
      </c>
      <c r="F12" s="135" t="inlineStr">
        <is>
          <t>High</t>
        </is>
      </c>
      <c r="G12" s="135" t="inlineStr">
        <is>
          <t>High</t>
        </is>
      </c>
      <c r="H12" s="135" t="n">
        <v>8</v>
      </c>
      <c r="I12" s="135" t="inlineStr">
        <is>
          <t>03 Sourcing and provenance (Partial); 04 Design and training (Partial); 05 Data and pipeline attacks (Direct); 05 Model attacks (Direct); 05 Supply-chain and artifact integrity (Direct); 09 Open-source component risk (Direct)</t>
        </is>
      </c>
      <c r="J12" s="135" t="inlineStr">
        <is>
          <t>Information Security (Partial); Value Chain and Component Integration (Direct)</t>
        </is>
      </c>
      <c r="K12" s="135" t="inlineStr">
        <is>
          <t>MCP04:2025 Software Supply Chain Attacks &amp; Dependency Tampering (Direct)</t>
        </is>
      </c>
      <c r="L12" s="135" t="inlineStr">
        <is>
          <t>AI-CTRL-014, AI-CTRL-016, AI-CTRL-019, AI-CTRL-024, AI-CTRL-028, AI-CTRL-029, AI-CTRL-030, AI-CTRL-031, AI-CTRL-032, AI-CTRL-033</t>
        </is>
      </c>
      <c r="M12" s="135" t="inlineStr">
        <is>
          <t>https://nachi065.github.io/AI-Security-Wiki/02_Risk_Management/02B_Enterprise_AI_Risk_Register.html</t>
        </is>
      </c>
    </row>
    <row r="13" ht="90" customHeight="1">
      <c r="A13" s="6" t="inlineStr">
        <is>
          <t>AI-R09</t>
        </is>
      </c>
      <c r="B13" s="6" t="inlineStr">
        <is>
          <t>Lack of AI Auditability and Forensic Visibility</t>
        </is>
      </c>
      <c r="C13" s="134" t="inlineStr">
        <is>
          <t>07</t>
        </is>
      </c>
      <c r="D13" s="6" t="inlineStr">
        <is>
          <t>Investigations are weak if prompts, responses, uploads, retrieved documents, model calls, tool invocations and agent decisions cannot be reconstructed. Required controls include policy-based logging, audit export, SIEM integration and retention controls.</t>
        </is>
      </c>
      <c r="E13" s="6" t="inlineStr">
        <is>
          <t>High</t>
        </is>
      </c>
      <c r="F13" s="6" t="inlineStr">
        <is>
          <t>High</t>
        </is>
      </c>
      <c r="G13" s="6" t="inlineStr">
        <is>
          <t>High</t>
        </is>
      </c>
      <c r="H13" s="6" t="n">
        <v>9</v>
      </c>
      <c r="I13" s="6" t="inlineStr">
        <is>
          <t>01 Audit and assurance (Partial); 04 Reproducibility and documentation (Direct); 07 Monitoring and observability (Direct); 07 Incident management (Direct); 12 Action integrity and traceability (Direct)</t>
        </is>
      </c>
      <c r="J13" s="6" t="inlineStr">
        <is>
          <t>None</t>
        </is>
      </c>
      <c r="K13" s="6" t="inlineStr">
        <is>
          <t>MCP08:2025 Lack of Audit and Telemetry (Direct)</t>
        </is>
      </c>
      <c r="L13" s="6" t="inlineStr">
        <is>
          <t>AI-CTRL-008, AI-CTRL-009, AI-CTRL-035, AI-CTRL-038, AI-CTRL-043</t>
        </is>
      </c>
      <c r="M13" s="6" t="inlineStr">
        <is>
          <t>https://nachi065.github.io/AI-Security-Wiki/02_Risk_Management/02B_Enterprise_AI_Risk_Register.html</t>
        </is>
      </c>
    </row>
    <row r="14" ht="90" customHeight="1">
      <c r="A14" s="135" t="inlineStr">
        <is>
          <t>AI-R10</t>
        </is>
      </c>
      <c r="B14" s="135" t="inlineStr">
        <is>
          <t>Data Sovereignty and Third-Party Processing Risk</t>
        </is>
      </c>
      <c r="C14" s="136" t="inlineStr">
        <is>
          <t>08</t>
        </is>
      </c>
      <c r="D14" s="135" t="inlineStr">
        <is>
          <t>AI platforms may process or retain prompts, uploads, metadata and logs in external locations. Required controls include data residency validation, training exclusion, retention configuration, administrative access logging and deployment model assessment.</t>
        </is>
      </c>
      <c r="E14" s="135" t="inlineStr">
        <is>
          <t>Medium</t>
        </is>
      </c>
      <c r="F14" s="135" t="inlineStr">
        <is>
          <t>Critical</t>
        </is>
      </c>
      <c r="G14" s="135" t="inlineStr">
        <is>
          <t>High</t>
        </is>
      </c>
      <c r="H14" s="135" t="n">
        <v>10</v>
      </c>
      <c r="I14" s="135" t="inlineStr">
        <is>
          <t>03 Privacy and consent (Direct); 08 Contractual and licensing (Partial); 08 Cross-border (Direct); 09 Vendor due diligence (Partial)</t>
        </is>
      </c>
      <c r="J14" s="135" t="inlineStr">
        <is>
          <t>Data Privacy (Direct)</t>
        </is>
      </c>
      <c r="K14" s="135" t="inlineStr">
        <is>
          <t>None</t>
        </is>
      </c>
      <c r="L14" s="135" t="inlineStr">
        <is>
          <t>AI-CTRL-007, AI-CTRL-013, AI-CTRL-014, AI-CTRL-032, AI-CTRL-042, AI-CTRL-043</t>
        </is>
      </c>
      <c r="M14" s="135" t="inlineStr">
        <is>
          <t>https://nachi065.github.io/AI-Security-Wiki/02_Risk_Management/02B_Enterprise_AI_Risk_Register.html</t>
        </is>
      </c>
    </row>
    <row r="15" ht="90" customHeight="1">
      <c r="A15" s="6" t="inlineStr">
        <is>
          <t>AI-R11</t>
        </is>
      </c>
      <c r="B15" s="6" t="inlineStr">
        <is>
          <t>AI Cost Abuse and Resource Exhaustion</t>
        </is>
      </c>
      <c r="C15" s="134" t="inlineStr">
        <is>
          <t>07</t>
        </is>
      </c>
      <c r="D15" s="6" t="inlineStr">
        <is>
          <t>AI usage is metered, so leaked keys, automated traffic against public endpoints, runaway agents and retry loops can exhaust budget or capacity within hours. Required controls include cost attribution, budgets and quotas with enforcement, rate limits, spend anomaly detection, key revocation and limits on agent loops.</t>
        </is>
      </c>
      <c r="E15" s="6" t="inlineStr">
        <is>
          <t>Medium</t>
        </is>
      </c>
      <c r="F15" s="6" t="inlineStr">
        <is>
          <t>High</t>
        </is>
      </c>
      <c r="G15" s="6" t="inlineStr">
        <is>
          <t>High</t>
        </is>
      </c>
      <c r="H15" s="6" t="n">
        <v>11</v>
      </c>
      <c r="I15" s="6" t="inlineStr">
        <is>
          <t>07 Availability and scalability (Direct); 11 Cost and compute economics (Direct)</t>
        </is>
      </c>
      <c r="J15" s="6" t="inlineStr">
        <is>
          <t>None</t>
        </is>
      </c>
      <c r="K15" s="6" t="inlineStr">
        <is>
          <t>None</t>
        </is>
      </c>
      <c r="L15" s="6" t="inlineStr">
        <is>
          <t>AI-CTRL-025, AI-CTRL-036</t>
        </is>
      </c>
      <c r="M15" s="6" t="inlineStr">
        <is>
          <t>https://nachi065.github.io/AI-Security-Wiki/02_Risk_Management/02B_Enterprise_AI_Risk_Register.html</t>
        </is>
      </c>
    </row>
    <row r="16" ht="90" customHeight="1">
      <c r="A16" s="135" t="inlineStr">
        <is>
          <t>AI-R12</t>
        </is>
      </c>
      <c r="B16" s="135" t="inlineStr">
        <is>
          <t>Unreliable or Harmful AI Output</t>
        </is>
      </c>
      <c r="C16" s="136" t="inlineStr">
        <is>
          <t>06</t>
        </is>
      </c>
      <c r="D16" s="135" t="inlineStr">
        <is>
          <t>AI systems can give confident wrong answers, invent sources, packages and links, drift outside their approved scope or produce harmful content, and people act on the result. Required controls include grounding in approved sources, citation verification, topic restriction, harmful content filtering and factuality evaluation.</t>
        </is>
      </c>
      <c r="E16" s="135" t="inlineStr">
        <is>
          <t>Medium</t>
        </is>
      </c>
      <c r="F16" s="135" t="inlineStr">
        <is>
          <t>High</t>
        </is>
      </c>
      <c r="G16" s="135" t="inlineStr">
        <is>
          <t>High</t>
        </is>
      </c>
      <c r="H16" s="135" t="n">
        <v>12</v>
      </c>
      <c r="I16" s="135" t="inlineStr">
        <is>
          <t>04 Accuracy and validation (Direct); 06 Harmful / inaccurate output (Direct); 06 Misuse and dual-use (Partial)</t>
        </is>
      </c>
      <c r="J16" s="135" t="inlineStr">
        <is>
          <t>CBRN Information or Capabilities (Partial); Confabulation (Direct); Dangerous, Violent, or Hateful Content (Partial); Information Integrity (Partial); Obscene, Degrading, and/or Abusive Content (Partial)</t>
        </is>
      </c>
      <c r="K16" s="135" t="inlineStr">
        <is>
          <t>None</t>
        </is>
      </c>
      <c r="L16" s="135" t="inlineStr">
        <is>
          <t>AI-CTRL-039, AI-CTRL-041, AI-CTRL-042, AI-CTRL-045</t>
        </is>
      </c>
      <c r="M16" s="135" t="inlineStr">
        <is>
          <t>https://nachi065.github.io/AI-Security-Wiki/02_Risk_Management/02B_Enterprise_AI_Risk_Register.html</t>
        </is>
      </c>
    </row>
    <row r="17" ht="90" customHeight="1">
      <c r="A17" s="6" t="inlineStr">
        <is>
          <t>AI-R13</t>
        </is>
      </c>
      <c r="B17" s="6" t="inlineStr">
        <is>
          <t>AI Service Disruption and Dependency Failure</t>
        </is>
      </c>
      <c r="C17" s="134" t="inlineStr">
        <is>
          <t>07</t>
        </is>
      </c>
      <c r="D17" s="6" t="inlineStr">
        <is>
          <t>Business processes come to depend on AI services, model providers and the security controls in front of them. Outages, provider changes, overload or a control that fails open can stop the process or silently remove protection. Required controls include defined fail modes, failover that keeps policy intact, fallback paths, tested backups, provider exit plans and detection of silent control failure.</t>
        </is>
      </c>
      <c r="E17" s="6" t="inlineStr">
        <is>
          <t>Medium</t>
        </is>
      </c>
      <c r="F17" s="6" t="inlineStr">
        <is>
          <t>High</t>
        </is>
      </c>
      <c r="G17" s="6" t="inlineStr">
        <is>
          <t>Medium</t>
        </is>
      </c>
      <c r="H17" s="6" t="n">
        <v>13</v>
      </c>
      <c r="I17" s="6" t="inlineStr">
        <is>
          <t>07 Availability and scalability (Direct); 11 Scaling and resource constraints (Direct)</t>
        </is>
      </c>
      <c r="J17" s="6" t="inlineStr">
        <is>
          <t>None</t>
        </is>
      </c>
      <c r="K17" s="6" t="inlineStr">
        <is>
          <t>None</t>
        </is>
      </c>
      <c r="L17" s="6" t="inlineStr">
        <is>
          <t>AI-CTRL-040</t>
        </is>
      </c>
      <c r="M17" s="6" t="inlineStr">
        <is>
          <t>https://nachi065.github.io/AI-Security-Wiki/02_Risk_Management/02B_Enterprise_AI_Risk_Register.html</t>
        </is>
      </c>
    </row>
    <row r="18" ht="90" customHeight="1">
      <c r="A18" s="135" t="inlineStr">
        <is>
          <t>AI-R14</t>
        </is>
      </c>
      <c r="B18" s="135" t="inlineStr">
        <is>
          <t>Biased or Discriminatory AI Outcomes</t>
        </is>
      </c>
      <c r="C18" s="136" t="inlineStr">
        <is>
          <t>06</t>
        </is>
      </c>
      <c r="D18" s="135" t="inlineStr">
        <is>
          <t>AI outputs or decisions can disadvantage people or groups because of skewed data, proxy variables or the way a prompt frames the task. Required controls include group-level fairness testing before release and in operation, review of proxy variables, documented thresholds and human review of adverse outcomes.</t>
        </is>
      </c>
      <c r="E18" s="135" t="inlineStr">
        <is>
          <t>Medium</t>
        </is>
      </c>
      <c r="F18" s="135" t="inlineStr">
        <is>
          <t>High</t>
        </is>
      </c>
      <c r="G18" s="135" t="inlineStr">
        <is>
          <t>High</t>
        </is>
      </c>
      <c r="H18" s="135" t="n">
        <v>14</v>
      </c>
      <c r="I18" s="135" t="inlineStr">
        <is>
          <t>06 Bias and fairness (Direct)</t>
        </is>
      </c>
      <c r="J18" s="135" t="inlineStr">
        <is>
          <t>Harmful Bias or Homogenization (Partial)</t>
        </is>
      </c>
      <c r="K18" s="135" t="inlineStr">
        <is>
          <t>None</t>
        </is>
      </c>
      <c r="L18" s="135" t="inlineStr">
        <is>
          <t>AI-CTRL-033, AI-CTRL-039, AI-CTRL-041, AI-CTRL-045</t>
        </is>
      </c>
      <c r="M18" s="135" t="inlineStr">
        <is>
          <t>https://nachi065.github.io/AI-Security-Wiki/02_Risk_Management/02B_Enterprise_AI_Risk_Register.html</t>
        </is>
      </c>
    </row>
    <row r="19" ht="90" customHeight="1">
      <c r="A19" s="6" t="inlineStr">
        <is>
          <t>AI-R15</t>
        </is>
      </c>
      <c r="B19" s="6" t="inlineStr">
        <is>
          <t>Lack of Explainability and Decision Traceability</t>
        </is>
      </c>
      <c r="C19" s="134" t="inlineStr">
        <is>
          <t>04</t>
        </is>
      </c>
      <c r="D19" s="6" t="inlineStr">
        <is>
          <t>The basis for an AI-assisted decision may not be explainable to a customer, reviewer or regulator, and the decision may not be reconstructable later. Required controls include decision records that name the model version, prompt template and sources, explanation templates by audience and retention that matches the decision's life.</t>
        </is>
      </c>
      <c r="E19" s="6" t="inlineStr">
        <is>
          <t>Medium</t>
        </is>
      </c>
      <c r="F19" s="6" t="inlineStr">
        <is>
          <t>High</t>
        </is>
      </c>
      <c r="G19" s="6" t="inlineStr">
        <is>
          <t>High</t>
        </is>
      </c>
      <c r="H19" s="6" t="n">
        <v>15</v>
      </c>
      <c r="I19" s="6" t="inlineStr">
        <is>
          <t>04 Explainability (Direct); 04 Reproducibility and documentation (Direct)</t>
        </is>
      </c>
      <c r="J19" s="6" t="inlineStr">
        <is>
          <t>None</t>
        </is>
      </c>
      <c r="K19" s="6" t="inlineStr">
        <is>
          <t>None</t>
        </is>
      </c>
      <c r="L19" s="6" t="inlineStr">
        <is>
          <t>AI-CTRL-008, AI-CTRL-038, AI-CTRL-041</t>
        </is>
      </c>
      <c r="M19" s="6" t="inlineStr">
        <is>
          <t>https://nachi065.github.io/AI-Security-Wiki/02_Risk_Management/02B_Enterprise_AI_Risk_Register.html</t>
        </is>
      </c>
    </row>
    <row r="20" ht="90" customHeight="1">
      <c r="A20" s="135" t="inlineStr">
        <is>
          <t>AI-R16</t>
        </is>
      </c>
      <c r="B20" s="135" t="inlineStr">
        <is>
          <t>Foundation Model Version Change and Non-Deterministic Behaviour</t>
        </is>
      </c>
      <c r="C20" s="136" t="inlineStr">
        <is>
          <t>07</t>
        </is>
      </c>
      <c r="D20" s="135" t="inlineStr">
        <is>
          <t>Providers update, replace or retire models, and the same input can give different outputs. Guardrails, prompts and safety evaluations that passed before can regress without any change on the customer side. Required controls include version pinning, tracking of provider notices, a regression suite on every change, tolerance limits for output variation and tested rollback.</t>
        </is>
      </c>
      <c r="E20" s="135" t="inlineStr">
        <is>
          <t>High</t>
        </is>
      </c>
      <c r="F20" s="135" t="inlineStr">
        <is>
          <t>Medium</t>
        </is>
      </c>
      <c r="G20" s="135" t="inlineStr">
        <is>
          <t>High</t>
        </is>
      </c>
      <c r="H20" s="135" t="n">
        <v>16</v>
      </c>
      <c r="I20" s="135" t="inlineStr">
        <is>
          <t>04 Robustness and drift (Direct); 06 Transparency, disclosure and provenance (Partial); 07 MLOps and deployment (Direct); 07 Change and lifecycle management (Direct)</t>
        </is>
      </c>
      <c r="J20" s="135" t="inlineStr">
        <is>
          <t>None</t>
        </is>
      </c>
      <c r="K20" s="135" t="inlineStr">
        <is>
          <t>None</t>
        </is>
      </c>
      <c r="L20" s="135" t="inlineStr">
        <is>
          <t>AI-CTRL-014, AI-CTRL-031, AI-CTRL-033, AI-CTRL-034, AI-CTRL-040</t>
        </is>
      </c>
      <c r="M20" s="135" t="inlineStr">
        <is>
          <t>https://nachi065.github.io/AI-Security-Wiki/02_Risk_Management/02B_Enterprise_AI_Risk_Register.html</t>
        </is>
      </c>
    </row>
    <row r="21" ht="90" customHeight="1">
      <c r="A21" s="6" t="inlineStr">
        <is>
          <t>AI-R17</t>
        </is>
      </c>
      <c r="B21" s="6" t="inlineStr">
        <is>
          <t>Data Quality Degradation and Model Drift</t>
        </is>
      </c>
      <c r="C21" s="134" t="inlineStr">
        <is>
          <t>04</t>
        </is>
      </c>
      <c r="D21" s="6" t="inlineStr">
        <is>
          <t>Source data, retrieval content or input patterns change over time, so output quality or safety falls without any code change. Required controls include quality baselines, freshness limits and named owners for each source, drift indicators with thresholds and a defined response when a threshold is crossed.</t>
        </is>
      </c>
      <c r="E21" s="6" t="inlineStr">
        <is>
          <t>Medium</t>
        </is>
      </c>
      <c r="F21" s="6" t="inlineStr">
        <is>
          <t>High</t>
        </is>
      </c>
      <c r="G21" s="6" t="inlineStr">
        <is>
          <t>High</t>
        </is>
      </c>
      <c r="H21" s="6" t="n">
        <v>17</v>
      </c>
      <c r="I21" s="6" t="inlineStr">
        <is>
          <t>03 Quality and labeling (Direct); 04 Robustness and drift (Direct)</t>
        </is>
      </c>
      <c r="J21" s="6" t="inlineStr">
        <is>
          <t>None</t>
        </is>
      </c>
      <c r="K21" s="6" t="inlineStr">
        <is>
          <t>None</t>
        </is>
      </c>
      <c r="L21" s="6" t="inlineStr">
        <is>
          <t>AI-CTRL-017, AI-CTRL-019, AI-CTRL-034</t>
        </is>
      </c>
      <c r="M21" s="6" t="inlineStr">
        <is>
          <t>https://nachi065.github.io/AI-Security-Wiki/02_Risk_Management/02B_Enterprise_AI_Risk_Register.html</t>
        </is>
      </c>
    </row>
    <row r="22" ht="90" customHeight="1">
      <c r="A22" s="135" t="inlineStr">
        <is>
          <t>AI-R18</t>
        </is>
      </c>
      <c r="B22" s="135" t="inlineStr">
        <is>
          <t>Model Overreach and Use Beyond Approved Purpose</t>
        </is>
      </c>
      <c r="C22" s="136" t="inlineStr">
        <is>
          <t>01</t>
        </is>
      </c>
      <c r="D22" s="135" t="inlineStr">
        <is>
          <t>A system approved for a low-risk purpose may later be used for a higher-risk one, or its autonomy and data access may grow without a new assessment. Required controls include a purpose statement per use case, change triggers that force reassessment and monitoring of actual use against the approved purpose.</t>
        </is>
      </c>
      <c r="E22" s="135" t="inlineStr">
        <is>
          <t>Medium</t>
        </is>
      </c>
      <c r="F22" s="135" t="inlineStr">
        <is>
          <t>High</t>
        </is>
      </c>
      <c r="G22" s="135" t="inlineStr">
        <is>
          <t>High</t>
        </is>
      </c>
      <c r="H22" s="135" t="n">
        <v>18</v>
      </c>
      <c r="I22" s="135" t="inlineStr">
        <is>
          <t>01 Governance and oversight (Partial); 02 Use-case selection and sourcing (Partial)</t>
        </is>
      </c>
      <c r="J22" s="135" t="inlineStr">
        <is>
          <t>None</t>
        </is>
      </c>
      <c r="K22" s="135" t="inlineStr">
        <is>
          <t>None</t>
        </is>
      </c>
      <c r="L22" s="135" t="inlineStr">
        <is>
          <t>AI-CTRL-011, AI-CTRL-012, AI-CTRL-037, AI-CTRL-045</t>
        </is>
      </c>
      <c r="M22" s="135" t="inlineStr">
        <is>
          <t>https://nachi065.github.io/AI-Security-Wiki/02_Risk_Management/02B_Enterprise_AI_Risk_Register.html</t>
        </is>
      </c>
    </row>
    <row r="23" ht="90" customHeight="1">
      <c r="A23" s="6" t="inlineStr">
        <is>
          <t>AI-R19</t>
        </is>
      </c>
      <c r="B23" s="6" t="inlineStr">
        <is>
          <t>Insufficient or Ineffective Human Oversight</t>
        </is>
      </c>
      <c r="C23" s="134" t="inlineStr">
        <is>
          <t>06</t>
        </is>
      </c>
      <c r="D23" s="6" t="inlineStr">
        <is>
          <t>A person may be nominally in the loop but unable or unwilling to review meaningfully, through automation bias, missing context, no authority to override or a volume that forces rubber-stamping. Required controls include oversight points set by risk tier, reviewer context, authority and training, and effectiveness measures such as override rates and sampled re-review.</t>
        </is>
      </c>
      <c r="E23" s="6" t="inlineStr">
        <is>
          <t>Medium</t>
        </is>
      </c>
      <c r="F23" s="6" t="inlineStr">
        <is>
          <t>High</t>
        </is>
      </c>
      <c r="G23" s="6" t="inlineStr">
        <is>
          <t>High</t>
        </is>
      </c>
      <c r="H23" s="6" t="n">
        <v>19</v>
      </c>
      <c r="I23" s="6" t="inlineStr">
        <is>
          <t>06 Human agency and over-reliance (Direct); 12 Autonomy, alignment and oversight (Direct)</t>
        </is>
      </c>
      <c r="J23" s="6" t="inlineStr">
        <is>
          <t>Human-AI Configuration (Partial)</t>
        </is>
      </c>
      <c r="K23" s="6" t="inlineStr">
        <is>
          <t>None</t>
        </is>
      </c>
      <c r="L23" s="6" t="inlineStr">
        <is>
          <t>AI-CTRL-012, AI-CTRL-023, AI-CTRL-044, AI-CTRL-045</t>
        </is>
      </c>
      <c r="M23" s="6" t="inlineStr">
        <is>
          <t>https://nachi065.github.io/AI-Security-Wiki/02_Risk_Management/02B_Enterprise_AI_Risk_Register.html</t>
        </is>
      </c>
    </row>
    <row r="24" ht="90" customHeight="1">
      <c r="A24" s="135" t="inlineStr">
        <is>
          <t>AI-R20</t>
        </is>
      </c>
      <c r="B24" s="135" t="inlineStr">
        <is>
          <t>Reputational Harm from AI Behaviour</t>
        </is>
      </c>
      <c r="C24" s="136" t="inlineStr">
        <is>
          <t>10</t>
        </is>
      </c>
      <c r="D24" s="135" t="inlineStr">
        <is>
          <t>A public-facing or customer-facing AI system may say something offensive, misleading or off-brand, or make a commitment the organisation did not intend, and the output becomes public. Required controls include content filtering, topic restriction, adversarial testing before release and a public-incident response path.</t>
        </is>
      </c>
      <c r="E24" s="135" t="inlineStr">
        <is>
          <t>Medium</t>
        </is>
      </c>
      <c r="F24" s="135" t="inlineStr">
        <is>
          <t>High</t>
        </is>
      </c>
      <c r="G24" s="135" t="inlineStr">
        <is>
          <t>Medium</t>
        </is>
      </c>
      <c r="H24" s="135" t="n">
        <v>20</v>
      </c>
      <c r="I24" s="135" t="inlineStr">
        <is>
          <t>06 Harmful / inaccurate output (Direct); 10 Societal and reputational (Partial)</t>
        </is>
      </c>
      <c r="J24" s="135" t="inlineStr">
        <is>
          <t>Dangerous, Violent, or Hateful Content (Partial); Information Integrity (Partial)</t>
        </is>
      </c>
      <c r="K24" s="135" t="inlineStr">
        <is>
          <t>None</t>
        </is>
      </c>
      <c r="L24" s="135" t="inlineStr">
        <is>
          <t>AI-CTRL-034, AI-CTRL-035, AI-CTRL-039</t>
        </is>
      </c>
      <c r="M24" s="135" t="inlineStr">
        <is>
          <t>https://nachi065.github.io/AI-Security-Wiki/02_Risk_Management/02B_Enterprise_AI_Risk_Register.html</t>
        </is>
      </c>
    </row>
    <row r="25" ht="90" customHeight="1">
      <c r="A25" s="6" t="inlineStr">
        <is>
          <t>AI-R21</t>
        </is>
      </c>
      <c r="B25" s="6" t="inlineStr">
        <is>
          <t>Agent Memory and State Persistence Poisoning</t>
        </is>
      </c>
      <c r="C25" s="134" t="inlineStr">
        <is>
          <t>12</t>
        </is>
      </c>
      <c r="D25" s="6" t="inlineStr">
        <is>
          <t>Malicious or wrong content written into an agent's long-term memory or saved state can influence later sessions or other users and survive restarts. Required controls include memory integrity checks, provenance for stored entries, purge and rollback procedures and isolation of memory between users.</t>
        </is>
      </c>
      <c r="E25" s="6" t="inlineStr">
        <is>
          <t>Medium</t>
        </is>
      </c>
      <c r="F25" s="6" t="inlineStr">
        <is>
          <t>High</t>
        </is>
      </c>
      <c r="G25" s="6" t="inlineStr">
        <is>
          <t>High</t>
        </is>
      </c>
      <c r="H25" s="6" t="n">
        <v>21</v>
      </c>
      <c r="I25" s="6" t="inlineStr">
        <is>
          <t>03 Retention and disposal (Direct); 12 Memory and context integrity (Direct)</t>
        </is>
      </c>
      <c r="J25" s="6" t="inlineStr">
        <is>
          <t>None</t>
        </is>
      </c>
      <c r="K25" s="6" t="inlineStr">
        <is>
          <t>MCP10:2025 Context Injection &amp; Over-Sharing (Partial)</t>
        </is>
      </c>
      <c r="L25" s="6" t="inlineStr">
        <is>
          <t>AI-CTRL-025, AI-CTRL-026, AI-CTRL-027</t>
        </is>
      </c>
      <c r="M25" s="6" t="inlineStr">
        <is>
          <t>https://nachi065.github.io/AI-Security-Wiki/02_Risk_Management/02B_Enterprise_AI_Risk_Register.html</t>
        </is>
      </c>
    </row>
    <row r="26" ht="90" customHeight="1">
      <c r="A26" s="135" t="inlineStr">
        <is>
          <t>AI-R22</t>
        </is>
      </c>
      <c r="B26" s="135" t="inlineStr">
        <is>
          <t>Agent-Mediated Credential Discovery and Harvesting</t>
        </is>
      </c>
      <c r="C26" s="136" t="inlineStr">
        <is>
          <t>12</t>
        </is>
      </c>
      <c r="D26" s="135" t="inlineStr">
        <is>
          <t>An agent with file, shell or environment access can find and use credentials it was never meant to hold, and an injected instruction can make it send them out. Required controls include keeping secrets out of agent-readable locations, short-lived scoped tokens issued at call time, canary credentials and separate identities for agents.</t>
        </is>
      </c>
      <c r="E26" s="135" t="inlineStr">
        <is>
          <t>Medium</t>
        </is>
      </c>
      <c r="F26" s="135" t="inlineStr">
        <is>
          <t>Critical</t>
        </is>
      </c>
      <c r="G26" s="135" t="inlineStr">
        <is>
          <t>High</t>
        </is>
      </c>
      <c r="H26" s="135" t="n">
        <v>22</v>
      </c>
      <c r="I26" s="135" t="inlineStr">
        <is>
          <t>05 AI access and identity (Direct); 12 Tool access and authorization (Direct)</t>
        </is>
      </c>
      <c r="J26" s="135" t="inlineStr">
        <is>
          <t>None</t>
        </is>
      </c>
      <c r="K26" s="135" t="inlineStr">
        <is>
          <t>MCP01:2025 Token Mismanagement &amp; Secret Exposure (Direct)</t>
        </is>
      </c>
      <c r="L26" s="135" t="inlineStr">
        <is>
          <t>AI-CTRL-004, AI-CTRL-015, AI-CTRL-016, AI-CTRL-027</t>
        </is>
      </c>
      <c r="M26" s="135" t="inlineStr">
        <is>
          <t>https://nachi065.github.io/AI-Security-Wiki/02_Risk_Management/02B_Enterprise_AI_Risk_Register.html</t>
        </is>
      </c>
    </row>
    <row r="27" ht="90" customHeight="1">
      <c r="A27" s="6" t="inlineStr">
        <is>
          <t>AI-R23</t>
        </is>
      </c>
      <c r="B27" s="6" t="inlineStr">
        <is>
          <t>Skill, Plugin and MCP Server Supply Chain Compromise</t>
        </is>
      </c>
      <c r="C27" s="134" t="inlineStr">
        <is>
          <t>12</t>
        </is>
      </c>
      <c r="D27" s="6" t="inlineStr">
        <is>
          <t>Agent skills, plugins and MCP servers run with the agent's authority, and a compromised or malicious one can act as the agent. This narrows AI-R08 to the agent extension surface. Required controls include an allowlist, review before approval, version pinning, integrity checks and removal procedures.</t>
        </is>
      </c>
      <c r="E27" s="6" t="inlineStr">
        <is>
          <t>Medium</t>
        </is>
      </c>
      <c r="F27" s="6" t="inlineStr">
        <is>
          <t>Critical</t>
        </is>
      </c>
      <c r="G27" s="6" t="inlineStr">
        <is>
          <t>High</t>
        </is>
      </c>
      <c r="H27" s="6" t="n">
        <v>23</v>
      </c>
      <c r="I27" s="6" t="inlineStr">
        <is>
          <t>05 Supply-chain and artifact integrity (Direct); 12 Tool access and authorization (Direct)</t>
        </is>
      </c>
      <c r="J27" s="6" t="inlineStr">
        <is>
          <t>Value Chain and Component Integration (Direct)</t>
        </is>
      </c>
      <c r="K27" s="6" t="inlineStr">
        <is>
          <t>MCP02:2025 Privilege Escalation via Scope Creep (Direct); MCP03:2025 Tool Poisoning (Direct); MCP04:2025 Software Supply Chain Attacks &amp; Dependency Tampering (Direct); MCP05:2025 Command Injection &amp; Execution (Direct); MCP09:2025 Shadow MCP Servers (Partial)</t>
        </is>
      </c>
      <c r="L27" s="6" t="inlineStr">
        <is>
          <t>AI-CTRL-024, AI-CTRL-031</t>
        </is>
      </c>
      <c r="M27" s="6" t="inlineStr">
        <is>
          <t>https://nachi065.github.io/AI-Security-Wiki/02_Risk_Management/02B_Enterprise_AI_Risk_Register.html</t>
        </is>
      </c>
    </row>
    <row r="28" ht="90" customHeight="1">
      <c r="A28" s="135" t="inlineStr">
        <is>
          <t>AI-R24</t>
        </is>
      </c>
      <c r="B28" s="135" t="inlineStr">
        <is>
          <t>Tool Chain Manipulation and Injection</t>
        </is>
      </c>
      <c r="C28" s="136" t="inlineStr">
        <is>
          <t>12</t>
        </is>
      </c>
      <c r="D28" s="135" t="inlineStr">
        <is>
          <t>An attacker can steer an agent through a sequence of individually permitted tool calls, or inject instructions through tool inputs and outputs, so the combined effect is one nobody authorised. Required controls include deterministic checks on call sequences, validation of tool inputs and outputs and runtime inspection.</t>
        </is>
      </c>
      <c r="E28" s="135" t="inlineStr">
        <is>
          <t>Medium</t>
        </is>
      </c>
      <c r="F28" s="135" t="inlineStr">
        <is>
          <t>Critical</t>
        </is>
      </c>
      <c r="G28" s="135" t="inlineStr">
        <is>
          <t>High</t>
        </is>
      </c>
      <c r="H28" s="135" t="n">
        <v>24</v>
      </c>
      <c r="I28" s="135" t="inlineStr">
        <is>
          <t>05 Output and integration security (Direct)</t>
        </is>
      </c>
      <c r="J28" s="135" t="inlineStr">
        <is>
          <t>Information Security (Partial)</t>
        </is>
      </c>
      <c r="K28" s="135" t="inlineStr">
        <is>
          <t>MCP03:2025 Tool Poisoning (Direct); MCP05:2025 Command Injection &amp; Execution (Direct); MCP06:2025 Prompt Injection via Contextual Payloads (Direct)</t>
        </is>
      </c>
      <c r="L28" s="135" t="inlineStr">
        <is>
          <t>AI-CTRL-005, AI-CTRL-020, AI-CTRL-022, AI-CTRL-024</t>
        </is>
      </c>
      <c r="M28" s="135" t="inlineStr">
        <is>
          <t>https://nachi065.github.io/AI-Security-Wiki/02_Risk_Management/02B_Enterprise_AI_Risk_Register.html</t>
        </is>
      </c>
    </row>
    <row r="29" ht="90" customHeight="1">
      <c r="A29" s="6" t="inlineStr">
        <is>
          <t>AI-R25</t>
        </is>
      </c>
      <c r="B29" s="6" t="inlineStr">
        <is>
          <t>Multi-Agent Trust Boundary Violation</t>
        </is>
      </c>
      <c r="C29" s="134" t="inlineStr">
        <is>
          <t>12</t>
        </is>
      </c>
      <c r="D29" s="6" t="inlineStr">
        <is>
          <t>Agents that call or delegate to other agents can pass on instructions, data or authority across boundaries nobody intended, so one compromised agent affects the rest. Required controls include an agent trust map, identity for every agent, containment and isolation between agents and logging of inter-agent requests.</t>
        </is>
      </c>
      <c r="E29" s="6" t="inlineStr">
        <is>
          <t>Medium</t>
        </is>
      </c>
      <c r="F29" s="6" t="inlineStr">
        <is>
          <t>High</t>
        </is>
      </c>
      <c r="G29" s="6" t="inlineStr">
        <is>
          <t>High</t>
        </is>
      </c>
      <c r="H29" s="6" t="n">
        <v>25</v>
      </c>
      <c r="I29" s="6" t="inlineStr">
        <is>
          <t>12 Multi-agent orchestration (Direct)</t>
        </is>
      </c>
      <c r="J29" s="6" t="inlineStr">
        <is>
          <t>None</t>
        </is>
      </c>
      <c r="K29" s="6" t="inlineStr">
        <is>
          <t>None</t>
        </is>
      </c>
      <c r="L29" s="6" t="inlineStr">
        <is>
          <t>AI-CTRL-006, AI-CTRL-015, AI-CTRL-025, AI-CTRL-027</t>
        </is>
      </c>
      <c r="M29" s="6" t="inlineStr">
        <is>
          <t>https://nachi065.github.io/AI-Security-Wiki/02_Risk_Management/02B_Enterprise_AI_Risk_Register.html</t>
        </is>
      </c>
    </row>
    <row r="30" ht="90" customHeight="1">
      <c r="A30" s="135" t="inlineStr">
        <is>
          <t>AI-R26</t>
        </is>
      </c>
      <c r="B30" s="135" t="inlineStr">
        <is>
          <t>Reasoning Trace and Intermediate Output Exposure</t>
        </is>
      </c>
      <c r="C30" s="136" t="inlineStr">
        <is>
          <t>05</t>
        </is>
      </c>
      <c r="D30" s="135" t="inlineStr">
        <is>
          <t>Reasoning steps, intermediate tool output and system instructions can expose sensitive data, internal logic or attack paths when they are shown to users or written to logs. Required controls include classifying these traces, deciding what is displayed and retained, and testing for leakage.</t>
        </is>
      </c>
      <c r="E30" s="135" t="inlineStr">
        <is>
          <t>Medium</t>
        </is>
      </c>
      <c r="F30" s="135" t="inlineStr">
        <is>
          <t>Medium</t>
        </is>
      </c>
      <c r="G30" s="135" t="inlineStr">
        <is>
          <t>Medium</t>
        </is>
      </c>
      <c r="H30" s="135" t="n">
        <v>26</v>
      </c>
      <c r="I30" s="135" t="inlineStr">
        <is>
          <t>05 Inference-time (input) attacks (Direct)</t>
        </is>
      </c>
      <c r="J30" s="135" t="inlineStr">
        <is>
          <t>None</t>
        </is>
      </c>
      <c r="K30" s="135" t="inlineStr">
        <is>
          <t>None</t>
        </is>
      </c>
      <c r="L30" s="135" t="inlineStr">
        <is>
          <t>AI-CTRL-008, AI-CTRL-020</t>
        </is>
      </c>
      <c r="M30" s="135" t="inlineStr">
        <is>
          <t>https://nachi065.github.io/AI-Security-Wiki/02_Risk_Management/02B_Enterprise_AI_Risk_Register.html</t>
        </is>
      </c>
    </row>
    <row r="31" ht="90" customHeight="1">
      <c r="A31" s="6" t="inlineStr">
        <is>
          <t>AI-R27</t>
        </is>
      </c>
      <c r="B31" s="6" t="inlineStr">
        <is>
          <t>Intellectual Property and Copyright Infringement</t>
        </is>
      </c>
      <c r="C31" s="134" t="inlineStr">
        <is>
          <t>08</t>
        </is>
      </c>
      <c r="D31" s="6" t="inlineStr">
        <is>
          <t>Staff may submit third-party copyrighted or licensed material to AI tools, and AI output or training data may infringe the rights of others or carry licence obligations into products and code. Required controls include a usage policy, review of vendor terms for output ownership and indemnity, provenance records for training data and scanning of released output where policy requires.</t>
        </is>
      </c>
      <c r="E31" s="6" t="inlineStr">
        <is>
          <t>Medium</t>
        </is>
      </c>
      <c r="F31" s="6" t="inlineStr">
        <is>
          <t>High</t>
        </is>
      </c>
      <c r="G31" s="6" t="inlineStr">
        <is>
          <t>High</t>
        </is>
      </c>
      <c r="H31" s="6" t="n">
        <v>27</v>
      </c>
      <c r="I31" s="6" t="inlineStr">
        <is>
          <t>03 Sourcing and provenance (Partial); 03 Training-data rights and IP (Direct); 08 IP and liability (Direct)</t>
        </is>
      </c>
      <c r="J31" s="6" t="inlineStr">
        <is>
          <t>Intellectual Property (Direct)</t>
        </is>
      </c>
      <c r="K31" s="6" t="inlineStr">
        <is>
          <t>None</t>
        </is>
      </c>
      <c r="L31" s="6" t="inlineStr">
        <is>
          <t>AI-CTRL-002, AI-CTRL-003, AI-CTRL-012, AI-CTRL-013, AI-CTRL-046</t>
        </is>
      </c>
      <c r="M31" s="6" t="inlineStr">
        <is>
          <t>https://nachi065.github.io/AI-Security-Wiki/02_Risk_Management/02B_Enterprise_AI_Risk_Register.html</t>
        </is>
      </c>
    </row>
    <row r="32" ht="90" customHeight="1">
      <c r="A32" s="135" t="inlineStr">
        <is>
          <t>AI-R28</t>
        </is>
      </c>
      <c r="B32" s="135" t="inlineStr">
        <is>
          <t>Regulatory Non-Compliance from Unsupervised AI Decisions</t>
        </is>
      </c>
      <c r="C32" s="136" t="inlineStr">
        <is>
          <t>08</t>
        </is>
      </c>
      <c r="D32" s="135" t="inlineStr">
        <is>
          <t>A regulated process may use AI without the supervision, records or accountability the regulator expects of a human performing the same step. Required controls include an obligation register, impact assessment, decision records, human oversight appropriate to the tier and a named accountable owner.</t>
        </is>
      </c>
      <c r="E32" s="135" t="inlineStr">
        <is>
          <t>Medium</t>
        </is>
      </c>
      <c r="F32" s="135" t="inlineStr">
        <is>
          <t>Critical</t>
        </is>
      </c>
      <c r="G32" s="135" t="inlineStr">
        <is>
          <t>High</t>
        </is>
      </c>
      <c r="H32" s="135" t="n">
        <v>28</v>
      </c>
      <c r="I32" s="135" t="inlineStr">
        <is>
          <t>01 Roles and accountability (Partial); 03 Privacy and consent (Direct); 08 Regulatory compliance (Direct)</t>
        </is>
      </c>
      <c r="J32" s="135" t="inlineStr">
        <is>
          <t>None</t>
        </is>
      </c>
      <c r="K32" s="135" t="inlineStr">
        <is>
          <t>None</t>
        </is>
      </c>
      <c r="L32" s="135" t="inlineStr">
        <is>
          <t>AI-CTRL-012, AI-CTRL-013, AI-CTRL-037, AI-CTRL-038, AI-CTRL-042, AI-CTRL-045</t>
        </is>
      </c>
      <c r="M32" s="135" t="inlineStr">
        <is>
          <t>https://nachi065.github.io/AI-Security-Wiki/02_Risk_Management/02B_Enterprise_AI_Risk_Register.html</t>
        </is>
      </c>
    </row>
    <row r="33" ht="90" customHeight="1">
      <c r="A33" s="6" t="inlineStr">
        <is>
          <t>AI-R29</t>
        </is>
      </c>
      <c r="B33" s="6" t="inlineStr">
        <is>
          <t>Unrealised AI Value and Misaligned AI Strategy</t>
        </is>
      </c>
      <c r="C33" s="134" t="inlineStr">
        <is>
          <t>02</t>
        </is>
      </c>
      <c r="D33" s="6" t="inlineStr">
        <is>
          <t>AI may be adopted because of hype rather than a stated problem, pilots may stall without ever showing value, returns may depend on redesigning work nobody planned to redesign, and the full cost of data, integration and people may not be counted. The opposite also applies: failing to weigh the competitive cost of not adopting AI is a risk too, as is customers starting to reach the organization through their own AI agents, which can cut it off from the customer relationship. Required controls include a business case with a success measure and a risk and benefit weighing for each use case, a stage gate that stops or scales a pilot on evidence, and a review of value delivered after go-live. Adapted from AI Risk Map domain 02 (Strategy and Value Realization).</t>
        </is>
      </c>
      <c r="E33" s="6" t="inlineStr">
        <is>
          <t>Medium</t>
        </is>
      </c>
      <c r="F33" s="6" t="inlineStr">
        <is>
          <t>High</t>
        </is>
      </c>
      <c r="G33" s="6" t="inlineStr">
        <is>
          <t>Medium</t>
        </is>
      </c>
      <c r="H33" s="6" t="n">
        <v>29</v>
      </c>
      <c r="I33" s="6" t="inlineStr">
        <is>
          <t>02 Competitive position (Direct); 02 AI strategy and roadmap (Direct); 02 Use-case selection and sourcing (Partial); 02 Value measurement / ROI (Direct)</t>
        </is>
      </c>
      <c r="J33" s="6" t="inlineStr">
        <is>
          <t>None</t>
        </is>
      </c>
      <c r="K33" s="6" t="inlineStr">
        <is>
          <t>None</t>
        </is>
      </c>
      <c r="L33" s="6" t="inlineStr">
        <is>
          <t>AI-CTRL-011, AI-CTRL-037</t>
        </is>
      </c>
      <c r="M33" s="6" t="inlineStr">
        <is>
          <t>https://nachi065.github.io/AI-Security-Wiki/02_Risk_Management/02B_Enterprise_AI_Risk_Register.html</t>
        </is>
      </c>
    </row>
    <row r="34" ht="90" customHeight="1">
      <c r="A34" s="135" t="inlineStr">
        <is>
          <t>AI-R30</t>
        </is>
      </c>
      <c r="B34" s="135" t="inlineStr">
        <is>
          <t>AI Cost Volatility and Stranded Investment</t>
        </is>
      </c>
      <c r="C34" s="136" t="inlineStr">
        <is>
          <t>11</t>
        </is>
      </c>
      <c r="D34" s="135" t="inlineStr">
        <is>
          <t>Providers can change token prices, tiers or context limits on their own terms, usage forecasts made in a pilot rarely hold at production scale, and money can be committed to a system that is scaled too early or kept going past failure. Insurance cover may also exclude AI losses or define a user as a human only. This differs from AI-R11, which is about abuse; this risk arises from normal use. Required controls include cost forecasts that are revisited as usage grows, contract terms on price changes, a decision point to stop funding, and a review of insurance wording for AI. Adapted from AI Risk Map domain 11 (Financial and Resource).</t>
        </is>
      </c>
      <c r="E34" s="135" t="inlineStr">
        <is>
          <t>Medium</t>
        </is>
      </c>
      <c r="F34" s="135" t="inlineStr">
        <is>
          <t>High</t>
        </is>
      </c>
      <c r="G34" s="135" t="inlineStr">
        <is>
          <t>Medium</t>
        </is>
      </c>
      <c r="H34" s="135" t="n">
        <v>30</v>
      </c>
      <c r="I34" s="135" t="inlineStr">
        <is>
          <t>02 Value measurement / ROI (Direct); 11 Cost and compute economics (Direct); 11 Investment / procurement (Direct)</t>
        </is>
      </c>
      <c r="J34" s="135" t="inlineStr">
        <is>
          <t>None</t>
        </is>
      </c>
      <c r="K34" s="135" t="inlineStr">
        <is>
          <t>None</t>
        </is>
      </c>
      <c r="L34" s="135" t="inlineStr">
        <is>
          <t>AI-CTRL-036, AI-CTRL-014, AI-CTRL-037</t>
        </is>
      </c>
      <c r="M34" s="135" t="inlineStr">
        <is>
          <t>https://nachi065.github.io/AI-Security-Wiki/02_Risk_Management/02B_Enterprise_AI_Risk_Register.html</t>
        </is>
      </c>
    </row>
    <row r="35" ht="90" customHeight="1">
      <c r="A35" s="6" t="inlineStr">
        <is>
          <t>AI-R31</t>
        </is>
      </c>
      <c r="B35" s="6" t="inlineStr">
        <is>
          <t>Model Provider Concentration, Lock-in and Deprecation</t>
        </is>
      </c>
      <c r="C35" s="134" t="inlineStr">
        <is>
          <t>09</t>
        </is>
      </c>
      <c r="D35" s="6" t="inlineStr">
        <is>
          <t>Many systems may depend on a few model providers, proprietary APIs and fine-tunes make switching costly, and fine-tuned models, embeddings and prompts often do not transfer between providers. A provider can retire a model or change its behaviour and force an unplanned migration, and shortages of GPUs, compute capacity or power can limit how far a system can scale, or lead a provider to ration capacity. AI-R13 covers outages and AI-R16 covers version changes; this risk covers the dependence itself. Required controls include a record of which systems depend on which provider and model, exit provisions in contracts, a tested migration path for critical systems and tracking of provider deprecation notices. Adapted from AI Risk Map domain 09 (Third-Party and Model Supply Chain).</t>
        </is>
      </c>
      <c r="E35" s="6" t="inlineStr">
        <is>
          <t>Medium</t>
        </is>
      </c>
      <c r="F35" s="6" t="inlineStr">
        <is>
          <t>High</t>
        </is>
      </c>
      <c r="G35" s="6" t="inlineStr">
        <is>
          <t>High</t>
        </is>
      </c>
      <c r="H35" s="6" t="n">
        <v>31</v>
      </c>
      <c r="I35" s="6" t="inlineStr">
        <is>
          <t>07 Change and lifecycle management (Direct); 09 Foundation-model dependence (Direct); 09 Lock-in and portability (Direct); 11 Scaling and resource constraints (Direct)</t>
        </is>
      </c>
      <c r="J35" s="6" t="inlineStr">
        <is>
          <t>None</t>
        </is>
      </c>
      <c r="K35" s="6" t="inlineStr">
        <is>
          <t>None</t>
        </is>
      </c>
      <c r="L35" s="6" t="inlineStr">
        <is>
          <t>AI-CTRL-014, AI-CTRL-031, AI-CTRL-040</t>
        </is>
      </c>
      <c r="M35" s="6" t="inlineStr">
        <is>
          <t>https://nachi065.github.io/AI-Security-Wiki/02_Risk_Management/02B_Enterprise_AI_Risk_Register.html</t>
        </is>
      </c>
    </row>
    <row r="36" ht="90" customHeight="1">
      <c r="A36" s="135" t="inlineStr">
        <is>
          <t>AI-R32</t>
        </is>
      </c>
      <c r="B36" s="135" t="inlineStr">
        <is>
          <t>Model Monoculture and Correlated Failure</t>
        </is>
      </c>
      <c r="C36" s="136" t="inlineStr">
        <is>
          <t>09</t>
        </is>
      </c>
      <c r="D36" s="135" t="inlineStr">
        <is>
          <t>When many systems, or a system and the controls that check it, use the same underlying model, one blind spot or bias is repeated everywhere at once and independent checks are not independent. Required controls include an inventory that records the base model behind each system, a deliberate choice of a different model or a non-AI method where a check must be independent, and evaluation that looks for errors shared across systems. Adapted from AI Risk Map domain 09 (Third-Party and Model Supply Chain).</t>
        </is>
      </c>
      <c r="E36" s="135" t="inlineStr">
        <is>
          <t>Medium</t>
        </is>
      </c>
      <c r="F36" s="135" t="inlineStr">
        <is>
          <t>High</t>
        </is>
      </c>
      <c r="G36" s="135" t="inlineStr">
        <is>
          <t>Medium</t>
        </is>
      </c>
      <c r="H36" s="135" t="n">
        <v>32</v>
      </c>
      <c r="I36" s="135" t="inlineStr">
        <is>
          <t>06 Bias and fairness (Direct); 09 Foundation-model dependence (Direct)</t>
        </is>
      </c>
      <c r="J36" s="135" t="inlineStr">
        <is>
          <t>Harmful Bias or Homogenization (Partial)</t>
        </is>
      </c>
      <c r="K36" s="135" t="inlineStr">
        <is>
          <t>None</t>
        </is>
      </c>
      <c r="L36" s="135" t="inlineStr">
        <is>
          <t>AI-CTRL-011, AI-CTRL-031, AI-CTRL-034</t>
        </is>
      </c>
      <c r="M36" s="135" t="inlineStr">
        <is>
          <t>https://nachi065.github.io/AI-Security-Wiki/02_Risk_Management/02B_Enterprise_AI_Risk_Register.html</t>
        </is>
      </c>
    </row>
    <row r="37" ht="90" customHeight="1">
      <c r="A37" s="6" t="inlineStr">
        <is>
          <t>AI-R33</t>
        </is>
      </c>
      <c r="B37" s="6" t="inlineStr">
        <is>
          <t>Workforce Deskilling and Loss of Institutional Knowledge</t>
        </is>
      </c>
      <c r="C37" s="134" t="inlineStr">
        <is>
          <t>10</t>
        </is>
      </c>
      <c r="D37" s="6" t="inlineStr">
        <is>
          <t>Staff who hand work to AI can lose the expertise needed to check it, knowledge held in people's heads disappears as AI replaces processes, and the organization may be unable to operate when the AI is unavailable. Specialists who leave can take undocumented prompt and model knowledge with them. Required controls include keeping manual competence for critical processes and testing it, documented fallback procedures, and recording prompts, configurations and design decisions as part of the system. Adapted from AI Risk Map domain 10 (Workforce, Human and Societal).</t>
        </is>
      </c>
      <c r="E37" s="6" t="inlineStr">
        <is>
          <t>Medium</t>
        </is>
      </c>
      <c r="F37" s="6" t="inlineStr">
        <is>
          <t>High</t>
        </is>
      </c>
      <c r="G37" s="6" t="inlineStr">
        <is>
          <t>Medium</t>
        </is>
      </c>
      <c r="H37" s="6" t="n">
        <v>33</v>
      </c>
      <c r="I37" s="6" t="inlineStr">
        <is>
          <t>10 Skills and talent (Direct); 10 Deskilling and loss of institutional knowledge (Direct)</t>
        </is>
      </c>
      <c r="J37" s="6" t="inlineStr">
        <is>
          <t>None</t>
        </is>
      </c>
      <c r="K37" s="6" t="inlineStr">
        <is>
          <t>None</t>
        </is>
      </c>
      <c r="L37" s="6" t="inlineStr">
        <is>
          <t>AI-CTRL-044, AI-CTRL-040, AI-CTRL-045</t>
        </is>
      </c>
      <c r="M37" s="6" t="inlineStr">
        <is>
          <t>https://nachi065.github.io/AI-Security-Wiki/02_Risk_Management/02B_Enterprise_AI_Risk_Register.html</t>
        </is>
      </c>
    </row>
    <row r="38" ht="90" customHeight="1">
      <c r="A38" s="135" t="inlineStr">
        <is>
          <t>AI-R34</t>
        </is>
      </c>
      <c r="B38" s="135" t="inlineStr">
        <is>
          <t>Workforce Change Failure and Skills Shortage</t>
        </is>
      </c>
      <c r="C38" s="136" t="inlineStr">
        <is>
          <t>10</t>
        </is>
      </c>
      <c r="D38" s="135" t="inlineStr">
        <is>
          <t>Leaders may manage AI like a conventional IT rollout and underestimate how much it changes the work itself, staff may resist or quietly avoid AI because of fear of displacement or distrust of its output, and AI and AI-risk specialists are scarce. Required controls include a change plan for each significant deployment, consultation with affected staff, adoption and trust measures, and AI literacy and role-based training. Adapted from AI Risk Map domain 10 (Workforce, Human and Societal).</t>
        </is>
      </c>
      <c r="E38" s="135" t="inlineStr">
        <is>
          <t>Medium</t>
        </is>
      </c>
      <c r="F38" s="135" t="inlineStr">
        <is>
          <t>Medium</t>
        </is>
      </c>
      <c r="G38" s="135" t="inlineStr">
        <is>
          <t>Medium</t>
        </is>
      </c>
      <c r="H38" s="135" t="n">
        <v>34</v>
      </c>
      <c r="I38" s="135" t="inlineStr">
        <is>
          <t>10 Skills and talent (Direct); 10 Workforce disruption / change (Direct)</t>
        </is>
      </c>
      <c r="J38" s="135" t="inlineStr">
        <is>
          <t>None</t>
        </is>
      </c>
      <c r="K38" s="135" t="inlineStr">
        <is>
          <t>None</t>
        </is>
      </c>
      <c r="L38" s="135" t="inlineStr">
        <is>
          <t>AI-CTRL-044, AI-CTRL-012</t>
        </is>
      </c>
      <c r="M38" s="135" t="inlineStr">
        <is>
          <t>https://nachi065.github.io/AI-Security-Wiki/02_Risk_Management/02B_Enterprise_AI_Risk_Register.html</t>
        </is>
      </c>
    </row>
    <row r="39" ht="90" customHeight="1">
      <c r="A39" s="6" t="inlineStr">
        <is>
          <t>AI-R35</t>
        </is>
      </c>
      <c r="B39" s="6" t="inlineStr">
        <is>
          <t>Unmeasured Energy and Water Use of AI</t>
        </is>
      </c>
      <c r="C39" s="134" t="inlineStr">
        <is>
          <t>11</t>
        </is>
      </c>
      <c r="D39" s="6" t="inlineStr">
        <is>
          <t>Training and inference use energy and, in many data centres, water for cooling, and these are rarely measured or weighed against the value of a use case. This can conflict with an organization's sustainability commitments and reporting. Required controls include an estimate of energy use per system from usage data and provider information, its inclusion in the use-case decision, and reporting where sustainability commitments require it. Adapted from AI Risk Map domain 11 (Financial and Resource).</t>
        </is>
      </c>
      <c r="E39" s="6" t="inlineStr">
        <is>
          <t>High</t>
        </is>
      </c>
      <c r="F39" s="6" t="inlineStr">
        <is>
          <t>Medium</t>
        </is>
      </c>
      <c r="G39" s="6" t="inlineStr">
        <is>
          <t>Medium</t>
        </is>
      </c>
      <c r="H39" s="6" t="n">
        <v>35</v>
      </c>
      <c r="I39" s="6" t="inlineStr">
        <is>
          <t>11 Cost and compute economics (Direct)</t>
        </is>
      </c>
      <c r="J39" s="6" t="inlineStr">
        <is>
          <t>Environmental Impacts (Partial)</t>
        </is>
      </c>
      <c r="K39" s="6" t="inlineStr">
        <is>
          <t>None</t>
        </is>
      </c>
      <c r="L39" s="6" t="inlineStr">
        <is>
          <t>AI-CTRL-036</t>
        </is>
      </c>
      <c r="M39" s="6" t="inlineStr">
        <is>
          <t>https://nachi065.github.io/AI-Security-Wiki/02_Risk_Management/02B_Enterprise_AI_Risk_Register.html</t>
        </is>
      </c>
    </row>
    <row r="40" ht="90" customHeight="1">
      <c r="A40" s="135" t="inlineStr">
        <is>
          <t>AI-R36</t>
        </is>
      </c>
      <c r="B40" s="135" t="inlineStr">
        <is>
          <t>AI Output Ownership and Model Licence Breach</t>
        </is>
      </c>
      <c r="C40" s="136" t="inlineStr">
        <is>
          <t>08</t>
        </is>
      </c>
      <c r="D40" s="135" t="inlineStr">
        <is>
          <t>Who owns AI-generated content, and whether it can be protected by copyright at all, is unsettled in many jurisdictions. Open-weight models come with licences that may restrict commercial use, user numbers, fields of use or the training of other models, and those terms can be breached without anyone noticing. AI-R27 covers infringing the rights of others; this risk covers the organization's own rights and licence obligations. Required controls include a register of model licences and their conditions, review of output ownership in vendor terms, and legal advice before relying on ownership of AI-generated assets. Adapted from AI Risk Map domain 08 (Legal, Regulatory and Compliance).</t>
        </is>
      </c>
      <c r="E40" s="135" t="inlineStr">
        <is>
          <t>Medium</t>
        </is>
      </c>
      <c r="F40" s="135" t="inlineStr">
        <is>
          <t>High</t>
        </is>
      </c>
      <c r="G40" s="135" t="inlineStr">
        <is>
          <t>Medium</t>
        </is>
      </c>
      <c r="H40" s="135" t="n">
        <v>36</v>
      </c>
      <c r="I40" s="135" t="inlineStr">
        <is>
          <t>03 Training-data rights and IP (Direct); 08 IP and liability (Direct); 08 Contractual and licensing (Partial)</t>
        </is>
      </c>
      <c r="J40" s="135" t="inlineStr">
        <is>
          <t>None</t>
        </is>
      </c>
      <c r="K40" s="135" t="inlineStr">
        <is>
          <t>None</t>
        </is>
      </c>
      <c r="L40" s="135" t="inlineStr">
        <is>
          <t>AI-CTRL-046, AI-CTRL-031, AI-CTRL-014</t>
        </is>
      </c>
      <c r="M40" s="135" t="inlineStr">
        <is>
          <t>https://nachi065.github.io/AI-Security-Wiki/02_Risk_Management/02B_Enterprise_AI_Risk_Register.html</t>
        </is>
      </c>
    </row>
    <row r="41" ht="90" customHeight="1">
      <c r="A41" s="6" t="inlineStr">
        <is>
          <t>AI-R37</t>
        </is>
      </c>
      <c r="B41" s="6" t="inlineStr">
        <is>
          <t>Provider Obligations Triggered by Modifying a Model</t>
        </is>
      </c>
      <c r="C41" s="134" t="inlineStr">
        <is>
          <t>08</t>
        </is>
      </c>
      <c r="D41" s="6" t="inlineStr">
        <is>
          <t>Fine-tuning, rebranding or changing the intended purpose of a third-party model can turn a deployer into a provider under some laws, with heavier obligations. Under the EU AI Act this can happen through a substantial modification or a change of purpose to a high-risk use (see the EU AI Regulatory Hub). Required controls include a role classification for each AI system that is repeated when the model, its purpose or its branding changes, and legal review of the obligations that follow. Adapted from AI Risk Map domain 08 (Legal, Regulatory and Compliance).</t>
        </is>
      </c>
      <c r="E41" s="6" t="inlineStr">
        <is>
          <t>Medium</t>
        </is>
      </c>
      <c r="F41" s="6" t="inlineStr">
        <is>
          <t>High</t>
        </is>
      </c>
      <c r="G41" s="6" t="inlineStr">
        <is>
          <t>High</t>
        </is>
      </c>
      <c r="H41" s="6" t="n">
        <v>37</v>
      </c>
      <c r="I41" s="6" t="inlineStr">
        <is>
          <t>08 Regulatory compliance (Direct)</t>
        </is>
      </c>
      <c r="J41" s="6" t="inlineStr">
        <is>
          <t>None</t>
        </is>
      </c>
      <c r="K41" s="6" t="inlineStr">
        <is>
          <t>None</t>
        </is>
      </c>
      <c r="L41" s="6" t="inlineStr">
        <is>
          <t>AI-CTRL-011, AI-CTRL-013, AI-CTRL-037</t>
        </is>
      </c>
      <c r="M41" s="6" t="inlineStr">
        <is>
          <t>https://nachi065.github.io/AI-Security-Wiki/02_Risk_Management/02B_Enterprise_AI_Risk_Register.html</t>
        </is>
      </c>
    </row>
    <row r="42" ht="90" customHeight="1">
      <c r="A42" s="135" t="inlineStr">
        <is>
          <t>AI-R38</t>
        </is>
      </c>
      <c r="B42" s="135" t="inlineStr">
        <is>
          <t>AI Records Not Preserved for Legal Hold and Discovery</t>
        </is>
      </c>
      <c r="C42" s="136" t="inlineStr">
        <is>
          <t>03</t>
        </is>
      </c>
      <c r="D42" s="135" t="inlineStr">
        <is>
          <t>Prompts, outputs and agent traces can be relevant to litigation, regulatory inquiries or disputes, and may be subject to a legal hold. Short retention settings in AI tools and data spread across several stores can mean they are deleted or cannot be found. AI-R09 covers forensic visibility for security; this risk covers legal preservation. Required controls include a retention schedule that names AI records, a way to apply a legal hold to them, and a tested search across the stores that hold them. Adapted from AI Risk Map domain 03 (Data and Privacy).</t>
        </is>
      </c>
      <c r="E42" s="135" t="inlineStr">
        <is>
          <t>Medium</t>
        </is>
      </c>
      <c r="F42" s="135" t="inlineStr">
        <is>
          <t>High</t>
        </is>
      </c>
      <c r="G42" s="135" t="inlineStr">
        <is>
          <t>High</t>
        </is>
      </c>
      <c r="H42" s="135" t="n">
        <v>38</v>
      </c>
      <c r="I42" s="135" t="inlineStr">
        <is>
          <t>03 Retention and disposal (Direct)</t>
        </is>
      </c>
      <c r="J42" s="135" t="inlineStr">
        <is>
          <t>None</t>
        </is>
      </c>
      <c r="K42" s="135" t="inlineStr">
        <is>
          <t>None</t>
        </is>
      </c>
      <c r="L42" s="135" t="inlineStr">
        <is>
          <t>AI-CTRL-008, AI-CTRL-038, AI-CTRL-035</t>
        </is>
      </c>
      <c r="M42" s="135" t="inlineStr">
        <is>
          <t>https://nachi065.github.io/AI-Security-Wiki/02_Risk_Management/02B_Enterprise_AI_Risk_Register.html</t>
        </is>
      </c>
    </row>
    <row r="43" ht="90" customHeight="1">
      <c r="A43" s="6" t="inlineStr">
        <is>
          <t>AI-R39</t>
        </is>
      </c>
      <c r="B43" s="6" t="inlineStr">
        <is>
          <t>Missing Independent Model Validation</t>
        </is>
      </c>
      <c r="C43" s="134" t="inlineStr">
        <is>
          <t>04</t>
        </is>
      </c>
      <c r="D43" s="6" t="inlineStr">
        <is>
          <t>A model may be approved by the team that built or bought it, with no independent validation or effective challenge, and validation data may not represent real use, so weaknesses show only with live users. Model risk management guidance in banking, such as the US supervisory guidance SR 11-7, expects independent validation. Required controls include validation by people independent of the developer, test data that reflects intended use, and validation repeated when the model or its use changes. Adapted from AI Risk Map domain 04 (Model Development and Performance).</t>
        </is>
      </c>
      <c r="E43" s="6" t="inlineStr">
        <is>
          <t>Medium</t>
        </is>
      </c>
      <c r="F43" s="6" t="inlineStr">
        <is>
          <t>High</t>
        </is>
      </c>
      <c r="G43" s="6" t="inlineStr">
        <is>
          <t>High</t>
        </is>
      </c>
      <c r="H43" s="6" t="n">
        <v>39</v>
      </c>
      <c r="I43" s="6" t="inlineStr">
        <is>
          <t>04 Accuracy and validation (Direct)</t>
        </is>
      </c>
      <c r="J43" s="6" t="inlineStr">
        <is>
          <t>None</t>
        </is>
      </c>
      <c r="K43" s="6" t="inlineStr">
        <is>
          <t>None</t>
        </is>
      </c>
      <c r="L43" s="6" t="inlineStr">
        <is>
          <t>AI-CTRL-033, AI-CTRL-034, AI-CTRL-038</t>
        </is>
      </c>
      <c r="M43" s="6" t="inlineStr">
        <is>
          <t>https://nachi065.github.io/AI-Security-Wiki/02_Risk_Management/02B_Enterprise_AI_Risk_Register.html</t>
        </is>
      </c>
    </row>
    <row r="44" ht="90" customHeight="1">
      <c r="A44" s="135" t="inlineStr">
        <is>
          <t>AI-R40</t>
        </is>
      </c>
      <c r="B44" s="135" t="inlineStr">
        <is>
          <t>AI Output Relied On in Financial Reporting Controls</t>
        </is>
      </c>
      <c r="C44" s="136" t="inlineStr">
        <is>
          <t>01</t>
        </is>
      </c>
      <c r="D44" s="135" t="inlineStr">
        <is>
          <t>AI may prepare reconciliations, journal entries or other inputs to financial reporting without the scope of internal control testing being changed to cover it. If nobody records which artifacts AI produced, a flaw in the model cannot be traced to what it affected. Required controls include notifying internal control owners and auditors when AI enters a financial reporting process, recording which outputs AI produced, and testing the AI step as part of the control. Adapted from AI Risk Map domain 01 (AI Governance and Accountability).</t>
        </is>
      </c>
      <c r="E44" s="135" t="inlineStr">
        <is>
          <t>Medium</t>
        </is>
      </c>
      <c r="F44" s="135" t="inlineStr">
        <is>
          <t>High</t>
        </is>
      </c>
      <c r="G44" s="135" t="inlineStr">
        <is>
          <t>High</t>
        </is>
      </c>
      <c r="H44" s="135" t="n">
        <v>40</v>
      </c>
      <c r="I44" s="135" t="inlineStr">
        <is>
          <t>01 Audit and assurance (Partial)</t>
        </is>
      </c>
      <c r="J44" s="135" t="inlineStr">
        <is>
          <t>None</t>
        </is>
      </c>
      <c r="K44" s="135" t="inlineStr">
        <is>
          <t>None</t>
        </is>
      </c>
      <c r="L44" s="135" t="inlineStr">
        <is>
          <t>AI-CTRL-038, AI-CTRL-011, AI-CTRL-008</t>
        </is>
      </c>
      <c r="M44" s="135" t="inlineStr">
        <is>
          <t>https://nachi065.github.io/AI-Security-Wiki/02_Risk_Management/02B_Enterprise_AI_Risk_Register.html</t>
        </is>
      </c>
    </row>
    <row r="45" ht="90" customHeight="1">
      <c r="A45" s="6" t="inlineStr">
        <is>
          <t>AI-R41</t>
        </is>
      </c>
      <c r="B45" s="6" t="inlineStr">
        <is>
          <t>AI-Washing and Unverified AI Capability Claims</t>
        </is>
      </c>
      <c r="C45" s="134" t="inlineStr">
        <is>
          <t>10</t>
        </is>
      </c>
      <c r="D45" s="6" t="inlineStr">
        <is>
          <t>An organization may overstate what its AI does to customers, investors or regulators, and may buy products whose "AI-powered" claims it cannot verify. Both can lead to regulatory action, disputes and lost trust. Required controls include review of external AI claims against evidence before publication, and testing of vendor capability claims during evaluation. Adapted from AI Risk Map domain 10 (Workforce, Human and Societal).</t>
        </is>
      </c>
      <c r="E45" s="6" t="inlineStr">
        <is>
          <t>Medium</t>
        </is>
      </c>
      <c r="F45" s="6" t="inlineStr">
        <is>
          <t>High</t>
        </is>
      </c>
      <c r="G45" s="6" t="inlineStr">
        <is>
          <t>Medium</t>
        </is>
      </c>
      <c r="H45" s="6" t="n">
        <v>41</v>
      </c>
      <c r="I45" s="6" t="inlineStr">
        <is>
          <t>09 Vendor due diligence (Partial); 10 Societal and reputational (Partial)</t>
        </is>
      </c>
      <c r="J45" s="6" t="inlineStr">
        <is>
          <t>None</t>
        </is>
      </c>
      <c r="K45" s="6" t="inlineStr">
        <is>
          <t>None</t>
        </is>
      </c>
      <c r="L45" s="6" t="inlineStr">
        <is>
          <t>AI-CTRL-012, AI-CTRL-014, AI-CTRL-039</t>
        </is>
      </c>
      <c r="M45" s="6" t="inlineStr">
        <is>
          <t>https://nachi065.github.io/AI-Security-Wiki/02_Risk_Management/02B_Enterprise_AI_Risk_Register.html</t>
        </is>
      </c>
    </row>
    <row r="46" ht="90" customHeight="1">
      <c r="A46" s="135" t="inlineStr">
        <is>
          <t>AI-R42</t>
        </is>
      </c>
      <c r="B46" s="135" t="inlineStr">
        <is>
          <t>Anthropomorphism and Emotional Dependence</t>
        </is>
      </c>
      <c r="C46" s="136" t="inlineStr">
        <is>
          <t>06</t>
        </is>
      </c>
      <c r="D46" s="135" t="inlineStr">
        <is>
          <t>People can attribute human qualities to conversational AI and come to depend on it emotionally, which raises the risk of manipulation and of harm to vulnerable users, including minors. This goes beyond the automation bias covered by AI-R19. Required controls include design review of personas and conversational style, clear disclosure that the user is talking to AI, safeguards and escalation for vulnerable users, and monitoring for patterns of dependence. Adapted from AI Risk Map domain 06 (Safety, Ethics and Responsible AI).</t>
        </is>
      </c>
      <c r="E46" s="135" t="inlineStr">
        <is>
          <t>Medium</t>
        </is>
      </c>
      <c r="F46" s="135" t="inlineStr">
        <is>
          <t>High</t>
        </is>
      </c>
      <c r="G46" s="135" t="inlineStr">
        <is>
          <t>Medium</t>
        </is>
      </c>
      <c r="H46" s="135" t="n">
        <v>42</v>
      </c>
      <c r="I46" s="135" t="inlineStr">
        <is>
          <t>06 Transparency, disclosure and provenance (Partial); 06 Human agency and over-reliance (Direct)</t>
        </is>
      </c>
      <c r="J46" s="135" t="inlineStr">
        <is>
          <t>Human-AI Configuration (Partial)</t>
        </is>
      </c>
      <c r="K46" s="135" t="inlineStr">
        <is>
          <t>None</t>
        </is>
      </c>
      <c r="L46" s="135" t="inlineStr">
        <is>
          <t>AI-CTRL-045, AI-CTRL-039, AI-CTRL-012</t>
        </is>
      </c>
      <c r="M46" s="135" t="inlineStr">
        <is>
          <t>https://nachi065.github.io/AI-Security-Wiki/02_Risk_Management/02B_Enterprise_AI_Risk_Register.html</t>
        </is>
      </c>
    </row>
    <row r="47" ht="90" customHeight="1">
      <c r="A47" s="6" t="inlineStr">
        <is>
          <t>AI-R43</t>
        </is>
      </c>
      <c r="B47" s="6" t="inlineStr">
        <is>
          <t>Hallucinated Package Dependencies</t>
        </is>
      </c>
      <c r="C47" s="134" t="inlineStr">
        <is>
          <t>05</t>
        </is>
      </c>
      <c r="D47" s="6" t="inlineStr">
        <is>
          <t>AI coding assistants and agents can suggest or install packages that do not exist. An attacker who registers those names in a public package registry gets their code installed. AI-R12 covers invented packages as an output reliability problem; this risk covers the attack. Required controls include installing only from an approved registry or proxy, checking that a suggested package exists and is established before use, and dependency scanning in the release gate. Adapted from AI Risk Map domain 05 (Security and Adversarial Threats).</t>
        </is>
      </c>
      <c r="E47" s="6" t="inlineStr">
        <is>
          <t>Medium</t>
        </is>
      </c>
      <c r="F47" s="6" t="inlineStr">
        <is>
          <t>High</t>
        </is>
      </c>
      <c r="G47" s="6" t="inlineStr">
        <is>
          <t>High</t>
        </is>
      </c>
      <c r="H47" s="6" t="n">
        <v>43</v>
      </c>
      <c r="I47" s="6" t="inlineStr">
        <is>
          <t>05 Supply-chain and artifact integrity (Direct)</t>
        </is>
      </c>
      <c r="J47" s="6" t="inlineStr">
        <is>
          <t>None</t>
        </is>
      </c>
      <c r="K47" s="6" t="inlineStr">
        <is>
          <t>None</t>
        </is>
      </c>
      <c r="L47" s="6" t="inlineStr">
        <is>
          <t>AI-CTRL-031, AI-CTRL-004, AI-CTRL-033</t>
        </is>
      </c>
      <c r="M47" s="6" t="inlineStr">
        <is>
          <t>https://nachi065.github.io/AI-Security-Wiki/02_Risk_Management/02B_Enterprise_AI_Risk_Register.html</t>
        </is>
      </c>
    </row>
    <row r="48" ht="90" customHeight="1">
      <c r="A48" s="135" t="inlineStr">
        <is>
          <t>AI-R44</t>
        </is>
      </c>
      <c r="B48" s="135" t="inlineStr">
        <is>
          <t>Safety Training Removed from Self-Hosted Models</t>
        </is>
      </c>
      <c r="C48" s="136" t="inlineStr">
        <is>
          <t>09</t>
        </is>
      </c>
      <c r="D48" s="135" t="inlineStr">
        <is>
          <t>Open-weight models can be fine-tuned or modified so that their safety training is weakened or removed, and modified versions are published under names that hide their lineage. A team that self-hosts such a model may not know its refusals no longer work. Required controls include verifying where model weights came from, safety and refusal evaluation before deployment and after any fine-tuning, and recording the model's lineage in the AI-BOM. Adapted from AI Risk Map domain 09 (Third-Party and Model Supply Chain).</t>
        </is>
      </c>
      <c r="E48" s="135" t="inlineStr">
        <is>
          <t>Medium</t>
        </is>
      </c>
      <c r="F48" s="135" t="inlineStr">
        <is>
          <t>High</t>
        </is>
      </c>
      <c r="G48" s="135" t="inlineStr">
        <is>
          <t>Medium</t>
        </is>
      </c>
      <c r="H48" s="135" t="n">
        <v>44</v>
      </c>
      <c r="I48" s="135" t="inlineStr">
        <is>
          <t>09 Open-source component risk (Direct)</t>
        </is>
      </c>
      <c r="J48" s="135" t="inlineStr">
        <is>
          <t>None</t>
        </is>
      </c>
      <c r="K48" s="135" t="inlineStr">
        <is>
          <t>None</t>
        </is>
      </c>
      <c r="L48" s="135" t="inlineStr">
        <is>
          <t>AI-CTRL-031, AI-CTRL-034, AI-CTRL-033</t>
        </is>
      </c>
      <c r="M48" s="135" t="inlineStr">
        <is>
          <t>https://nachi065.github.io/AI-Security-Wiki/02_Risk_Management/02B_Enterprise_AI_Risk_Register.html</t>
        </is>
      </c>
    </row>
    <row r="49" ht="90" customHeight="1">
      <c r="A49" s="6" t="inlineStr">
        <is>
          <t>AI-R45</t>
        </is>
      </c>
      <c r="B49" s="6" t="inlineStr">
        <is>
          <t>Agent Activity Indistinguishable from Attack</t>
        </is>
      </c>
      <c r="C49" s="134" t="inlineStr">
        <is>
          <t>07</t>
        </is>
      </c>
      <c r="D49" s="6" t="inlineStr">
        <is>
          <t>Approved agents that read widely, call many tools and act quickly can look the same in logs as an attacker using agentic tooling, so detections either drown in false alarms or are tuned until they miss real attacks. Required controls include a distinct identity for each agent in telemetry, a record of who authorised each agent's task, and detection rules that use that context. Adapted from AI Risk Map domain 07 (Operations and Resilience).</t>
        </is>
      </c>
      <c r="E49" s="6" t="inlineStr">
        <is>
          <t>Medium</t>
        </is>
      </c>
      <c r="F49" s="6" t="inlineStr">
        <is>
          <t>High</t>
        </is>
      </c>
      <c r="G49" s="6" t="inlineStr">
        <is>
          <t>High</t>
        </is>
      </c>
      <c r="H49" s="6" t="n">
        <v>45</v>
      </c>
      <c r="I49" s="6" t="inlineStr">
        <is>
          <t>07 Monitoring and observability (Direct)</t>
        </is>
      </c>
      <c r="J49" s="6" t="inlineStr">
        <is>
          <t>None</t>
        </is>
      </c>
      <c r="K49" s="6" t="inlineStr">
        <is>
          <t>MCP08:2025 Lack of Audit and Telemetry (Direct)</t>
        </is>
      </c>
      <c r="L49" s="6" t="inlineStr">
        <is>
          <t>AI-CTRL-015, AI-CTRL-008, AI-CTRL-009</t>
        </is>
      </c>
      <c r="M49" s="6" t="inlineStr">
        <is>
          <t>https://nachi065.github.io/AI-Security-Wiki/02_Risk_Management/02B_Enterprise_AI_Risk_Register.html</t>
        </is>
      </c>
    </row>
    <row r="50" ht="90" customHeight="1">
      <c r="A50" s="135" t="inlineStr">
        <is>
          <t>AI-R46</t>
        </is>
      </c>
      <c r="B50" s="135" t="inlineStr">
        <is>
          <t>Insider Use of Agents to Exceed Own Access</t>
        </is>
      </c>
      <c r="C50" s="136" t="inlineStr">
        <is>
          <t>05</t>
        </is>
      </c>
      <c r="D50" s="135" t="inlineStr">
        <is>
          <t>An employee can ask an agent that holds broader permissions to read or do things the employee could not do directly. This turns the agent into a way around access controls. Required controls include agents acting with the requesting user's permissions, not a broader service identity, checks on the user's entitlement at each action, and logging that names both the user and the agent. Adapted from AI Risk Map domain 05 (Security and Adversarial Threats).</t>
        </is>
      </c>
      <c r="E50" s="135" t="inlineStr">
        <is>
          <t>Medium</t>
        </is>
      </c>
      <c r="F50" s="135" t="inlineStr">
        <is>
          <t>High</t>
        </is>
      </c>
      <c r="G50" s="135" t="inlineStr">
        <is>
          <t>High</t>
        </is>
      </c>
      <c r="H50" s="135" t="n">
        <v>46</v>
      </c>
      <c r="I50" s="135" t="inlineStr">
        <is>
          <t>05 AI access and identity (Direct)</t>
        </is>
      </c>
      <c r="J50" s="135" t="inlineStr">
        <is>
          <t>None</t>
        </is>
      </c>
      <c r="K50" s="135" t="inlineStr">
        <is>
          <t>MCP07:2025 Insufficient Authentication &amp; Authorization (Direct)</t>
        </is>
      </c>
      <c r="L50" s="135" t="inlineStr">
        <is>
          <t>AI-CTRL-015, AI-CTRL-016, AI-CTRL-006</t>
        </is>
      </c>
      <c r="M50" s="135" t="inlineStr">
        <is>
          <t>https://nachi065.github.io/AI-Security-Wiki/02_Risk_Management/02B_Enterprise_AI_Risk_Register.html</t>
        </is>
      </c>
    </row>
    <row r="51">
      <c r="A51" s="6" t="inlineStr">
        <is>
          <t>AI-R47</t>
        </is>
      </c>
      <c r="B51" s="6" t="inlineStr">
        <is>
          <t>Model Extraction and Inference Attacks</t>
        </is>
      </c>
      <c r="C51" s="6" t="inlineStr">
        <is>
          <t>05</t>
        </is>
      </c>
      <c r="D51" s="6" t="inlineStr">
        <is>
          <t>An attacker who can query a model at volume can copy its behaviour into a model of their own, or work out whether a given record was in its training data. Both are possible through an ordinary API or chat interface, without access to the model files. AI-R08 covers the supply chain and AI-R06 covers data leaking in outputs; this risk covers attacks that use the model's answers to steal the model or reveal its training data. Required controls include rate limits and query-pattern detection, limits on how much detail outputs reveal (such as confidence scores), and extraction and membership inference testing before release. Adapted from AI Risk Map domain 05 (Security and Adversarial Threats). Also named in NIST AI 100-2 as model extraction and membership inference (see the NIST AI 100-2 Crosswalk).</t>
        </is>
      </c>
      <c r="E51" s="6" t="inlineStr">
        <is>
          <t>Medium</t>
        </is>
      </c>
      <c r="F51" s="6" t="inlineStr">
        <is>
          <t>High</t>
        </is>
      </c>
      <c r="G51" s="6" t="inlineStr">
        <is>
          <t>Medium</t>
        </is>
      </c>
      <c r="H51" s="6" t="n">
        <v>47</v>
      </c>
      <c r="I51" s="6" t="inlineStr">
        <is>
          <t>05 Model attacks (Direct)</t>
        </is>
      </c>
      <c r="J51" s="6" t="inlineStr">
        <is>
          <t>None</t>
        </is>
      </c>
      <c r="K51" s="6" t="inlineStr">
        <is>
          <t>None</t>
        </is>
      </c>
      <c r="L51" s="6" t="inlineStr">
        <is>
          <t>AI-CTRL-028, AI-CTRL-036, AI-CTRL-009, AI-CTRL-034</t>
        </is>
      </c>
      <c r="M51" s="6" t="inlineStr">
        <is>
          <t>https://nachi065.github.io/AI-Security-Wiki/02_Risk_Management/02B_Enterprise_AI_Risk_Register.html</t>
        </is>
      </c>
    </row>
    <row r="52">
      <c r="A52" s="135" t="inlineStr">
        <is>
          <t>AI-R48</t>
        </is>
      </c>
      <c r="B52" s="135" t="inlineStr">
        <is>
          <t>AI Incidents Not Recognised or Handled</t>
        </is>
      </c>
      <c r="C52" s="135" t="inlineStr">
        <is>
          <t>07</t>
        </is>
      </c>
      <c r="D52" s="135" t="inlineStr">
        <is>
          <t>An incident response plan written for conventional systems may not recognise an AI incident, such as a successful prompt injection, an agent acting outside its task, harmful output reaching customers or a model behaving differently after a provider change. Such events can go unreported, be closed as user error, or miss legal reporting deadlines. Required controls include AI incident categories and severity criteria in the response plan, routing of AI alerts to the security operations team, the evidence to preserve for each AI component, exercises that use AI scenarios, and a record of which incidents must be reported to which authority. Adapted from AI Risk Map domain 07 (Operations and Resilience). Also named in the EU AI Act, Article 73, as serious incident reporting for high-risk systems (see the EU AI Regulatory Hub).</t>
        </is>
      </c>
      <c r="E52" s="135" t="inlineStr">
        <is>
          <t>Medium</t>
        </is>
      </c>
      <c r="F52" s="135" t="inlineStr">
        <is>
          <t>High</t>
        </is>
      </c>
      <c r="G52" s="135" t="inlineStr">
        <is>
          <t>High</t>
        </is>
      </c>
      <c r="H52" s="135" t="n">
        <v>48</v>
      </c>
      <c r="I52" s="135" t="inlineStr">
        <is>
          <t>07 Incident management (Direct)</t>
        </is>
      </c>
      <c r="J52" s="135" t="inlineStr">
        <is>
          <t>None</t>
        </is>
      </c>
      <c r="K52" s="135" t="inlineStr">
        <is>
          <t>None</t>
        </is>
      </c>
      <c r="L52" s="135" t="inlineStr">
        <is>
          <t>AI-CTRL-035, AI-CTRL-009, AI-CTRL-043, AI-CTRL-008</t>
        </is>
      </c>
      <c r="M52" s="135" t="inlineStr">
        <is>
          <t>https://nachi065.github.io/AI-Security-Wiki/02_Risk_Management/02B_Enterprise_AI_Risk_Register.html</t>
        </is>
      </c>
    </row>
    <row r="53">
      <c r="A53" s="6" t="inlineStr">
        <is>
          <t>AI-R49</t>
        </is>
      </c>
      <c r="B53" s="6" t="inlineStr">
        <is>
          <t>Personal Data That Cannot Be Removed from Models</t>
        </is>
      </c>
      <c r="C53" s="6" t="inlineStr">
        <is>
          <t>03</t>
        </is>
      </c>
      <c r="D53" s="6" t="inlineStr">
        <is>
          <t>Once personal data has been used to train or fine-tune a model, or copied into embeddings and caches, it may not be possible to delete it on request or at the end of its retention period. A model may also repeat it in outputs. Required controls include knowing which training, fine-tuning and retrieval stores hold personal data, a procedure for data subject requests that covers models, embeddings and replicated stores, filtering or retraining decisions when deletion is required, and an assessment of whether the model itself holds personal data before it is shared or reused. Adapted from AI Risk Map domain 03 (Data and Privacy). Also named in the GDPR (the right to erasure, Article 17) and in EDPB Opinion 28/2024 on AI models and personal data (see the EU AI Regulatory Hub).</t>
        </is>
      </c>
      <c r="E53" s="6" t="inlineStr">
        <is>
          <t>Medium</t>
        </is>
      </c>
      <c r="F53" s="6" t="inlineStr">
        <is>
          <t>High</t>
        </is>
      </c>
      <c r="G53" s="6" t="inlineStr">
        <is>
          <t>High</t>
        </is>
      </c>
      <c r="H53" s="6" t="n">
        <v>49</v>
      </c>
      <c r="I53" s="6" t="inlineStr">
        <is>
          <t>03 Privacy and consent (Direct); 03 Retention and disposal (Direct)</t>
        </is>
      </c>
      <c r="J53" s="6" t="inlineStr">
        <is>
          <t>None</t>
        </is>
      </c>
      <c r="K53" s="6" t="inlineStr">
        <is>
          <t>None</t>
        </is>
      </c>
      <c r="L53" s="6" t="inlineStr">
        <is>
          <t>AI-CTRL-013, AI-CTRL-017, AI-CTRL-029, AI-CTRL-042</t>
        </is>
      </c>
      <c r="M53" s="6" t="inlineStr">
        <is>
          <t>https://nachi065.github.io/AI-Security-Wiki/02_Risk_Management/02B_Enterprise_AI_Risk_Register.html</t>
        </is>
      </c>
    </row>
    <row r="54">
      <c r="A54" s="135" t="inlineStr">
        <is>
          <t>AI-R50</t>
        </is>
      </c>
      <c r="B54" s="135" t="inlineStr">
        <is>
          <t>Training-Serving Skew and Unreproducible Models</t>
        </is>
      </c>
      <c r="C54" s="135" t="inlineStr">
        <is>
          <t>04</t>
        </is>
      </c>
      <c r="D54" s="135" t="inlineStr">
        <is>
          <t>A model can behave differently in production from how it behaved in evaluation because features, preprocessing or data are prepared differently in the two places. Without versioned code, data and settings, a model cannot be rebuilt to investigate a fault or to show a regulator how it was produced. AI-R17 covers drift over time; this risk covers a gap that exists from the first day. Required controls include one shared definition of features and preprocessing for training and serving, versioning of the data, code and settings behind each model, a check that production inputs match the evaluation data, and a test that a model can be rebuilt from its records. Adapted from AI Risk Map domains 04 (Model Development and Performance) and 07 (Operations and Resilience). No second source has been checked, so this entry is partly the wiki's own framing.</t>
        </is>
      </c>
      <c r="E54" s="135" t="inlineStr">
        <is>
          <t>Medium</t>
        </is>
      </c>
      <c r="F54" s="135" t="inlineStr">
        <is>
          <t>Medium</t>
        </is>
      </c>
      <c r="G54" s="135" t="inlineStr">
        <is>
          <t>Medium</t>
        </is>
      </c>
      <c r="H54" s="135" t="n">
        <v>50</v>
      </c>
      <c r="I54" s="135" t="inlineStr">
        <is>
          <t>04 Reproducibility and documentation (Direct); 07 MLOps and deployment (Direct)</t>
        </is>
      </c>
      <c r="J54" s="135" t="inlineStr">
        <is>
          <t>None</t>
        </is>
      </c>
      <c r="K54" s="135" t="inlineStr">
        <is>
          <t>None</t>
        </is>
      </c>
      <c r="L54" s="135" t="inlineStr">
        <is>
          <t>AI-CTRL-030, AI-CTRL-034, AI-CTRL-008, AI-CTRL-033</t>
        </is>
      </c>
      <c r="M54" s="135" t="inlineStr">
        <is>
          <t>https://nachi065.github.io/AI-Security-Wiki/02_Risk_Management/02B_Enterprise_AI_Risk_Register.html</t>
        </is>
      </c>
    </row>
    <row r="55">
      <c r="A55" s="6" t="inlineStr">
        <is>
          <t>AI-R51</t>
        </is>
      </c>
      <c r="B55" s="6" t="inlineStr">
        <is>
          <t>Liability for Harm Caused by AI Decisions</t>
        </is>
      </c>
      <c r="C55" s="6" t="inlineStr">
        <is>
          <t>08</t>
        </is>
      </c>
      <c r="D55" s="6" t="inlineStr">
        <is>
          <t>When an AI decision or output harms a customer or a third party, the organization may be liable even if a vendor built the model, and contracts may leave the organization carrying the loss. Some laws now treat software, including AI, as a product for liability purposes. Required controls include an impact assessment that names who could be harmed and how, human oversight sized to the harm, contract terms that allocate liability and indemnity with AI vendors, and a recorded acceptance of the residual risk by an accountable owner. Adapted from AI Risk Map domain 08 (Legal, Regulatory and Compliance). Also named in the new EU Product Liability Directive, which covers software (see the EU AI Regulatory Hub).</t>
        </is>
      </c>
      <c r="E55" s="6" t="inlineStr">
        <is>
          <t>Low</t>
        </is>
      </c>
      <c r="F55" s="6" t="inlineStr">
        <is>
          <t>High</t>
        </is>
      </c>
      <c r="G55" s="6" t="inlineStr">
        <is>
          <t>Medium</t>
        </is>
      </c>
      <c r="H55" s="6" t="n">
        <v>51</v>
      </c>
      <c r="I55" s="6" t="inlineStr">
        <is>
          <t>08 IP and liability (Direct)</t>
        </is>
      </c>
      <c r="J55" s="6" t="inlineStr">
        <is>
          <t>None</t>
        </is>
      </c>
      <c r="K55" s="6" t="inlineStr">
        <is>
          <t>None</t>
        </is>
      </c>
      <c r="L55" s="6" t="inlineStr">
        <is>
          <t>AI-CTRL-042, AI-CTRL-045, AI-CTRL-014, AI-CTRL-037</t>
        </is>
      </c>
      <c r="M55" s="6" t="inlineStr">
        <is>
          <t>https://nachi065.github.io/AI-Security-Wiki/02_Risk_Management/02B_Enterprise_AI_Risk_Register.html</t>
        </is>
      </c>
    </row>
    <row r="56">
      <c r="A56" s="135" t="inlineStr">
        <is>
          <t>AI-R52</t>
        </is>
      </c>
      <c r="B56" s="135" t="inlineStr">
        <is>
          <t>Unmaintained Open-Source AI Components</t>
        </is>
      </c>
      <c r="C56" s="135" t="inlineStr">
        <is>
          <t>09</t>
        </is>
      </c>
      <c r="D56" s="135" t="inlineStr">
        <is>
          <t>AI systems often depend on open-source libraries, model-serving tools, agent frameworks and models that a small number of volunteers maintain. A component can be abandoned, stop receiving security fixes, or change owner, while systems keep using it. AI-R08 covers tampered components and AI-R43 covers invented package names; this risk covers genuine components that are no longer maintained. Required controls include recording each component's maintenance status in the AI-BOM, a release-gate check for unmaintained or end-of-life components, and a plan to replace or take over components that critical systems rely on. Adapted from AI Risk Map domain 09 (Third-Party and Model Supply Chain). No second source has been checked, so this entry is partly the wiki's own framing.</t>
        </is>
      </c>
      <c r="E56" s="135" t="inlineStr">
        <is>
          <t>Medium</t>
        </is>
      </c>
      <c r="F56" s="135" t="inlineStr">
        <is>
          <t>Medium</t>
        </is>
      </c>
      <c r="G56" s="135" t="inlineStr">
        <is>
          <t>Medium</t>
        </is>
      </c>
      <c r="H56" s="135" t="n">
        <v>52</v>
      </c>
      <c r="I56" s="135" t="inlineStr">
        <is>
          <t>09 Open-source component risk (Direct)</t>
        </is>
      </c>
      <c r="J56" s="135" t="inlineStr">
        <is>
          <t>None</t>
        </is>
      </c>
      <c r="K56" s="135" t="inlineStr">
        <is>
          <t>None</t>
        </is>
      </c>
      <c r="L56" s="135" t="inlineStr">
        <is>
          <t>AI-CTRL-031, AI-CTRL-033, AI-CTRL-030</t>
        </is>
      </c>
      <c r="M56" s="135" t="inlineStr">
        <is>
          <t>https://nachi065.github.io/AI-Security-Wiki/02_Risk_Management/02B_Enterprise_AI_Risk_Register.html</t>
        </is>
      </c>
    </row>
    <row r="57">
      <c r="A57" s="6" t="inlineStr">
        <is>
          <t>AI-R53</t>
        </is>
      </c>
      <c r="B57" s="6" t="inlineStr">
        <is>
          <t>Unlabelled AI-Generated Content</t>
        </is>
      </c>
      <c r="C57" s="6" t="inlineStr">
        <is>
          <t>06</t>
        </is>
      </c>
      <c r="D57" s="6" t="inlineStr">
        <is>
          <t>Images, audio, video and text generated by AI can be taken for real when they are not marked as AI-generated, and some laws now require marking or labelling. Content that loses its marking when it is edited or shared can still cause the same harm. AI-R41 covers claims about AI capability; this risk covers the content itself. Required controls include machine-readable marking of generated content where the law or the use case requires it, visible labels where people could be misled, a test that the marking survives the system's normal output path, and a record of which jurisdictions' labelling rules apply. Adapted from AI Risk Map domain 06 (Safety, Ethics and Responsible AI). Also named in the EU AI Act, Article 50 (see the EU AI Regulatory Hub), and in China's rules on labelling AI-generated content (see the CN-T2 Content Labelling Implementation Record).</t>
        </is>
      </c>
      <c r="E57" s="6" t="inlineStr">
        <is>
          <t>Medium</t>
        </is>
      </c>
      <c r="F57" s="6" t="inlineStr">
        <is>
          <t>High</t>
        </is>
      </c>
      <c r="G57" s="6" t="inlineStr">
        <is>
          <t>Medium</t>
        </is>
      </c>
      <c r="H57" s="6" t="n">
        <v>53</v>
      </c>
      <c r="I57" s="6" t="inlineStr">
        <is>
          <t>06 Transparency, disclosure and provenance (Partial)</t>
        </is>
      </c>
      <c r="J57" s="6" t="inlineStr">
        <is>
          <t>None</t>
        </is>
      </c>
      <c r="K57" s="6" t="inlineStr">
        <is>
          <t>None</t>
        </is>
      </c>
      <c r="L57" s="6" t="inlineStr">
        <is>
          <t>AI-CTRL-039, AI-CTRL-020, AI-CTRL-013</t>
        </is>
      </c>
      <c r="M57" s="6" t="inlineStr">
        <is>
          <t>https://nachi065.github.io/AI-Security-Wiki/02_Risk_Management/02B_Enterprise_AI_Risk_Register.html</t>
        </is>
      </c>
    </row>
    <row r="58">
      <c r="A58" s="135" t="inlineStr">
        <is>
          <t>AI-R54</t>
        </is>
      </c>
      <c r="B58" s="135" t="inlineStr">
        <is>
          <t>Agent Actions Others Cannot Identify as AI</t>
        </is>
      </c>
      <c r="C58" s="135" t="inlineStr">
        <is>
          <t>12</t>
        </is>
      </c>
      <c r="D58" s="135" t="inlineStr">
        <is>
          <t>When an agent sends messages, makes bookings, files requests or calls other organizations' systems, the people and systems on the other side may not be able to tell that an agent acted, or for whom. That makes disputes hard to resolve and can breach the other party's terms. AI-R07 covers what the agent is allowed to do and AI-R45 covers how its activity looks in your own logs; this risk covers how it appears to others. Required controls include identifying the agent and the organization it acts for in outbound messages and requests where the other party expects it, keeping a record of each external action that names the agent and the user who started it, and following other services' rules on automated access. Adapted from AI Risk Map domain 12 (Autonomy and Delegated Action). No second source has been checked, so this entry is partly the wiki's own framing.</t>
        </is>
      </c>
      <c r="E58" s="135" t="inlineStr">
        <is>
          <t>Medium</t>
        </is>
      </c>
      <c r="F58" s="135" t="inlineStr">
        <is>
          <t>Medium</t>
        </is>
      </c>
      <c r="G58" s="135" t="inlineStr">
        <is>
          <t>Medium</t>
        </is>
      </c>
      <c r="H58" s="135" t="n">
        <v>54</v>
      </c>
      <c r="I58" s="135" t="inlineStr">
        <is>
          <t>12 Action integrity and traceability (Direct)</t>
        </is>
      </c>
      <c r="J58" s="135" t="inlineStr">
        <is>
          <t>None</t>
        </is>
      </c>
      <c r="K58" s="135" t="inlineStr">
        <is>
          <t>None</t>
        </is>
      </c>
      <c r="L58" s="135" t="inlineStr">
        <is>
          <t>AI-CTRL-015, AI-CTRL-008, AI-CTRL-006</t>
        </is>
      </c>
      <c r="M58" s="135" t="inlineStr">
        <is>
          <t>https://nachi065.github.io/AI-Security-Wiki/02_Risk_Management/02B_Enterprise_AI_Risk_Register.html</t>
        </is>
      </c>
    </row>
    <row r="59">
      <c r="A59" s="6" t="inlineStr">
        <is>
          <t>AI-R55</t>
        </is>
      </c>
      <c r="B59" s="6" t="inlineStr">
        <is>
          <t>AI-Accelerated Exploitation and Patch Gap</t>
        </is>
      </c>
      <c r="C59" s="6" t="inlineStr">
        <is>
          <t>05</t>
        </is>
      </c>
      <c r="D59" s="6" t="inlineStr">
        <is>
          <t>Attackers use AI to find vulnerabilities, turn them into working exploits and chain them together, faster and at greater volume than before, and each new model tends to be better at it. The time between disclosure and exploitation shrinks while the number of findings and patches grows, so vulnerability management sized for human attackers falls behind, and controls that only make an attack slow or tedious stop protecting. AI-R08 and AI-R52 cover weaknesses in the organization's own AI components; this risk covers what attackers' use of AI does to the exposure of all its systems. Required controls include a complete inventory of systems and the software on them, continuous rather than only periodic vulnerability scanning, a triage and ranking process sized for a higher volume of findings, remediation and exception time limits set on the assumption of fast exploitation, controls whose strength does not depend on attacker effort (cryptography, defined segmentation, deterministic authorisation), and design that limits the blast radius of a breach. Where AI agents are used to find and fix vulnerabilities at the same speed, govern their changes as in TC-L14-023. Named in the PCI SSC information supplement Security Considerations for AI Systems (September 2026; see the PCI DSS AI Crosswalk) and in the UK NCSC assessment Impact of AI on cyber threat from now to 2027 (7 May 2025), which says the time between disclosure and exploitation "has shrunk to days and AI will almost certainly reduce this further" (NCSC, read 29 October 2026). Most of its treatment is general vulnerability management, which this wiki does not cover; the controls mapped to it address the AI-specific part.</t>
        </is>
      </c>
      <c r="E59" s="6" t="inlineStr">
        <is>
          <t>High</t>
        </is>
      </c>
      <c r="F59" s="6" t="inlineStr">
        <is>
          <t>High</t>
        </is>
      </c>
      <c r="G59" s="6" t="inlineStr">
        <is>
          <t>High</t>
        </is>
      </c>
      <c r="H59" s="6" t="n">
        <v>55</v>
      </c>
      <c r="I59" s="6" t="inlineStr">
        <is>
          <t>None</t>
        </is>
      </c>
      <c r="J59" s="6" t="inlineStr">
        <is>
          <t>None</t>
        </is>
      </c>
      <c r="K59" s="6" t="inlineStr">
        <is>
          <t>None</t>
        </is>
      </c>
      <c r="L59" s="6" t="inlineStr">
        <is>
          <t>AI-CTRL-037, AI-CTRL-027, AI-CTRL-033, AI-CTRL-025</t>
        </is>
      </c>
      <c r="M59" s="6" t="inlineStr">
        <is>
          <t>https://nachi065.github.io/AI-Security-Wiki/02_Risk_Management/02B_Enterprise_AI_Risk_Register.html</t>
        </is>
      </c>
    </row>
  </sheetData>
  <autoFilter ref="A4:M59"/>
  <pageMargins left="0.75" right="0.75" top="1" bottom="1" header="0.5" footer="0.5"/>
</worksheet>
</file>

<file path=xl/worksheets/sheet10.xml><?xml version="1.0" encoding="utf-8"?>
<worksheet xmlns="http://schemas.openxmlformats.org/spreadsheetml/2006/main">
  <sheetPr>
    <tabColor rgb="00375623"/>
    <outlinePr summaryBelow="1" summaryRight="1"/>
    <pageSetUpPr/>
  </sheetPr>
  <dimension ref="A1:V50"/>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22" customWidth="1" min="3" max="3"/>
    <col width="10" customWidth="1" min="4" max="4"/>
    <col width="18" customWidth="1" min="5" max="5"/>
    <col width="40" customWidth="1" min="6" max="6"/>
    <col width="60" customWidth="1" min="7" max="7"/>
    <col width="36" customWidth="1" min="8" max="8"/>
    <col width="50" customWidth="1" min="9" max="9"/>
    <col width="18" customWidth="1" min="10" max="10"/>
    <col width="14" customWidth="1" min="11" max="11"/>
    <col width="22" customWidth="1" min="12" max="12"/>
    <col width="36" customWidth="1" min="13" max="13"/>
    <col width="40" customWidth="1" min="14" max="14"/>
    <col width="40" customWidth="1" min="15" max="15"/>
    <col width="20" customWidth="1" min="16" max="16"/>
    <col width="34" customWidth="1" min="17" max="17"/>
    <col width="34" customWidth="1" min="18" max="18"/>
    <col width="26" customWidth="1" min="19" max="19"/>
    <col width="22" customWidth="1" min="20" max="20"/>
    <col width="26" customWidth="1" min="21" max="21"/>
    <col width="9" customWidth="1" min="22" max="22"/>
  </cols>
  <sheetData>
    <row r="1" ht="30" customHeight="1">
      <c r="A1" s="137" t="inlineStr">
        <is>
          <t>AI Security Control Library (AI-CTRL-001 to AI-CTRL-046)</t>
        </is>
      </c>
      <c r="B1" s="138" t="n"/>
      <c r="C1" s="138" t="n"/>
      <c r="D1" s="138" t="n"/>
      <c r="E1" s="138" t="n"/>
      <c r="F1" s="138" t="n"/>
      <c r="G1" s="138" t="n"/>
      <c r="H1" s="138" t="n"/>
      <c r="I1" s="138" t="n"/>
      <c r="J1" s="138" t="n"/>
      <c r="K1" s="138" t="n"/>
      <c r="L1" s="138" t="n"/>
      <c r="M1" s="138" t="n"/>
      <c r="N1" s="138" t="n"/>
      <c r="O1" s="138" t="n"/>
      <c r="P1" s="138" t="n"/>
      <c r="Q1" s="138" t="n"/>
      <c r="R1" s="138" t="n"/>
      <c r="S1" s="138" t="n"/>
      <c r="T1" s="138" t="n"/>
      <c r="U1" s="138" t="n"/>
      <c r="V1" s="138" t="n"/>
    </row>
    <row r="2">
      <c r="A2" s="3" t="inlineStr">
        <is>
          <t>Source: AI Security Control Objectives Library and Control Tiers, AI Security Wiki, as of 29 October 2026.</t>
        </is>
      </c>
    </row>
    <row r="3"/>
    <row r="4">
      <c r="A4" s="139" t="inlineStr">
        <is>
          <t>Control ID</t>
        </is>
      </c>
      <c r="B4" s="139" t="inlineStr">
        <is>
          <t>Control Name</t>
        </is>
      </c>
      <c r="C4" s="139" t="inlineStr">
        <is>
          <t>Family</t>
        </is>
      </c>
      <c r="D4" s="139" t="inlineStr">
        <is>
          <t>Tier</t>
        </is>
      </c>
      <c r="E4" s="139" t="inlineStr">
        <is>
          <t>Applies To</t>
        </is>
      </c>
      <c r="F4" s="139" t="inlineStr">
        <is>
          <t>Control Objective</t>
        </is>
      </c>
      <c r="G4" s="139" t="inlineStr">
        <is>
          <t>Implementation Expectation</t>
        </is>
      </c>
      <c r="H4" s="139" t="inlineStr">
        <is>
          <t>Evidence Required</t>
        </is>
      </c>
      <c r="I4" s="139" t="inlineStr">
        <is>
          <t>Audit Test Procedure</t>
        </is>
      </c>
      <c r="J4" s="139" t="inlineStr">
        <is>
          <t>Control Owner</t>
        </is>
      </c>
      <c r="K4" s="139" t="inlineStr">
        <is>
          <t>Review Frequency</t>
        </is>
      </c>
      <c r="L4" s="139" t="inlineStr">
        <is>
          <t>Risk Mapping</t>
        </is>
      </c>
      <c r="M4" s="139" t="inlineStr">
        <is>
          <t>OWASP</t>
        </is>
      </c>
      <c r="N4" s="139" t="inlineStr">
        <is>
          <t>MITRE ATLAS Techniques</t>
        </is>
      </c>
      <c r="O4" s="139" t="inlineStr">
        <is>
          <t>MITRE ATLAS Mitigations</t>
        </is>
      </c>
      <c r="P4" s="139" t="inlineStr">
        <is>
          <t>NIST AI RMF</t>
        </is>
      </c>
      <c r="Q4" s="139" t="inlineStr">
        <is>
          <t>ISO/IEC 42001</t>
        </is>
      </c>
      <c r="R4" s="139" t="inlineStr">
        <is>
          <t>ISO/IEC 27001</t>
        </is>
      </c>
      <c r="S4" s="139" t="inlineStr">
        <is>
          <t>NIST CSF</t>
        </is>
      </c>
      <c r="T4" s="139" t="inlineStr">
        <is>
          <t>CIS Controls</t>
        </is>
      </c>
      <c r="U4" s="139" t="inlineStr">
        <is>
          <t>SOC 2</t>
        </is>
      </c>
      <c r="V4" s="139" t="inlineStr">
        <is>
          <t>Test Cases</t>
        </is>
      </c>
    </row>
    <row r="5" ht="120" customHeight="1">
      <c r="A5" s="6" t="inlineStr">
        <is>
          <t>AI-CTRL-001</t>
        </is>
      </c>
      <c r="B5" s="6" t="inlineStr">
        <is>
          <t>AI Discovery</t>
        </is>
      </c>
      <c r="C5" s="6" t="inlineStr">
        <is>
          <t>Discovery and Workforce AI Use</t>
        </is>
      </c>
      <c r="D5" s="6" t="inlineStr">
        <is>
          <t>Baseline</t>
        </is>
      </c>
      <c r="E5" s="6" t="inlineStr">
        <is>
          <t>Browser AI / IDE AI / AI APIs / Custom AI Applications / Agents</t>
        </is>
      </c>
      <c r="F5" s="6" t="inlineStr">
        <is>
          <t>Identify approved/unapproved AI platforms across browsers, endpoints, IDEs, SaaS, APIs and custom apps.</t>
        </is>
      </c>
      <c r="G5" s="6" t="inlineStr">
        <is>
          <t>Discover AI services, extensions, plugins, embedded SaaS AI features and API usage continuously. Classify each as approved, tolerated or unapproved, and attribute use to a user, device and application. Look for local models and agents and for AI add-ons such as browser extensions and IDE plug-ins on endpoints, use software allow-listing to stop unapproved installs, and watch network traffic for AI patterns such as Model Context Protocol (MCP) connections. Policy and training alone do not stop shadow AI.</t>
        </is>
      </c>
      <c r="H5" s="6" t="inlineStr">
        <is>
          <t>AI service inventory; usage dashboard; user and device reports; classification of each service.</t>
        </is>
      </c>
      <c r="I5" s="6" t="inlineStr">
        <is>
          <t>Seed a known set of approved and unapproved AI tools in a test group and compare the discovered inventory with ground truth. Confirm new tools appear within the stated interval.</t>
        </is>
      </c>
      <c r="J5" s="6" t="inlineStr">
        <is>
          <t>Security Engineering</t>
        </is>
      </c>
      <c r="K5" s="6" t="inlineStr">
        <is>
          <t>Quarterly</t>
        </is>
      </c>
      <c r="L5" s="6" t="inlineStr">
        <is>
          <t>AI-R02</t>
        </is>
      </c>
      <c r="M5" s="6" t="inlineStr">
        <is>
          <t>LLM03:2025 Supply Chain</t>
        </is>
      </c>
      <c r="N5" s="6" t="inlineStr">
        <is>
          <t>None published in MITRE ATLAS techniques. The wiki's own identifier applies: AI-CTRL-001.</t>
        </is>
      </c>
      <c r="O5" s="6" t="inlineStr">
        <is>
          <t>None published in MITRE ATLAS mitigations. The wiki's own identifier applies: AI-CTRL-001.</t>
        </is>
      </c>
      <c r="P5" s="6" t="inlineStr">
        <is>
          <t>GOVERN 1.6; GOVERN 6.1</t>
        </is>
      </c>
      <c r="Q5" s="6" t="inlineStr">
        <is>
          <t>A.4.2 Resource documentation</t>
        </is>
      </c>
      <c r="R5" s="6" t="inlineStr">
        <is>
          <t>A.5.9 Inventory of information and other associated assets; A.8.16 Monitoring activities; A.8.23 Web filtering; A.8.1 User endpoint devices</t>
        </is>
      </c>
      <c r="S5" s="6" t="inlineStr">
        <is>
          <t>ID.AM Asset Management; DE.CM Continuous Monitoring</t>
        </is>
      </c>
      <c r="T5" s="6" t="inlineStr">
        <is>
          <t>CIS 1 Inventory and Control of Enterprise Assets; CIS 2 Inventory and Control of Software Assets; CIS 9 Email and Web Browser Protections</t>
        </is>
      </c>
      <c r="U5" s="6" t="inlineStr">
        <is>
          <t>CC6.8 Unauthorized or malicious software; CC7.2 Monitoring for anomalies</t>
        </is>
      </c>
      <c r="V5" s="6" t="n">
        <v>33</v>
      </c>
    </row>
    <row r="6" ht="120" customHeight="1">
      <c r="A6" s="140" t="inlineStr">
        <is>
          <t>AI-CTRL-002</t>
        </is>
      </c>
      <c r="B6" s="140" t="inlineStr">
        <is>
          <t>Prompt Inspection</t>
        </is>
      </c>
      <c r="C6" s="140" t="inlineStr">
        <is>
          <t>Discovery and Workforce AI Use</t>
        </is>
      </c>
      <c r="D6" s="140" t="inlineStr">
        <is>
          <t>Baseline</t>
        </is>
      </c>
      <c r="E6" s="140" t="inlineStr">
        <is>
          <t>Browser AI / IDE AI / AI APIs / Custom AI Applications</t>
        </is>
      </c>
      <c r="F6" s="140" t="inlineStr">
        <is>
          <t>Detect sensitive, restricted or risky content submitted to AI platforms.</t>
        </is>
      </c>
      <c r="G6" s="140" t="inlineStr">
        <is>
          <t>Inspect prompts in line or at the endpoint for classified data, personal data, credentials and source code. Apply the data classification scheme already in use, and record the policy outcome for every detection.</t>
        </is>
      </c>
      <c r="H6" s="140" t="inlineStr">
        <is>
          <t>Prompt detection logs; policy outcomes; sampled test results by data type.</t>
        </is>
      </c>
      <c r="I6" s="140" t="inlineStr">
        <is>
          <t>Submit a labelled set of sensitive and benign prompts through each channel. Measure detection rate and false positives, and confirm each detection is logged with user, device and destination.</t>
        </is>
      </c>
      <c r="J6" s="140" t="inlineStr">
        <is>
          <t>AI Security Team</t>
        </is>
      </c>
      <c r="K6" s="140" t="inlineStr">
        <is>
          <t>Quarterly</t>
        </is>
      </c>
      <c r="L6" s="140" t="inlineStr">
        <is>
          <t>AI-R01, AI-R03, AI-R27</t>
        </is>
      </c>
      <c r="M6" s="140" t="inlineStr">
        <is>
          <t>LLM02:2025 Sensitive Information Disclosure</t>
        </is>
      </c>
      <c r="N6" s="140" t="inlineStr">
        <is>
          <t>AML.T0057 LLM Data Leakage</t>
        </is>
      </c>
      <c r="O6" s="140" t="inlineStr">
        <is>
          <t>AML.M0020 Generative AI Guardrails</t>
        </is>
      </c>
      <c r="P6" s="140" t="inlineStr">
        <is>
          <t>MEASURE 2.10; MANAGE 4.1</t>
        </is>
      </c>
      <c r="Q6" s="140" t="inlineStr">
        <is>
          <t>A.9.2 Processes for responsible use of AI systems</t>
        </is>
      </c>
      <c r="R6" s="140" t="inlineStr">
        <is>
          <t>A.5.12 Classification of information; A.8.11 Data masking; A.8.12 Data leakage prevention; A.8.1 User endpoint devices</t>
        </is>
      </c>
      <c r="S6" s="140" t="inlineStr">
        <is>
          <t>PR.DS Data Security; DE.CM Continuous Monitoring</t>
        </is>
      </c>
      <c r="T6" s="140" t="inlineStr">
        <is>
          <t>CIS 3 Data Protection</t>
        </is>
      </c>
      <c r="U6" s="140" t="inlineStr">
        <is>
          <t>CC6.7 Transmission, movement and removal of information; C1.1 Identification of confidential information</t>
        </is>
      </c>
      <c r="V6" s="140" t="n">
        <v>16</v>
      </c>
    </row>
    <row r="7" ht="120" customHeight="1">
      <c r="A7" s="6" t="inlineStr">
        <is>
          <t>AI-CTRL-003</t>
        </is>
      </c>
      <c r="B7" s="6" t="inlineStr">
        <is>
          <t>File Upload Protection</t>
        </is>
      </c>
      <c r="C7" s="6" t="inlineStr">
        <is>
          <t>Discovery and Workforce AI Use</t>
        </is>
      </c>
      <c r="D7" s="6" t="inlineStr">
        <is>
          <t>Advanced</t>
        </is>
      </c>
      <c r="E7" s="6" t="inlineStr">
        <is>
          <t>Browser AI / AI APIs / Custom AI Applications</t>
        </is>
      </c>
      <c r="F7" s="6" t="inlineStr">
        <is>
          <t>Prevent uploads of confidential or restricted files to unauthorized AI services.</t>
        </is>
      </c>
      <c r="G7" s="6" t="inlineStr">
        <is>
          <t>Inspect files sent to AI services, including nested archives, images and documents with embedded content. Block or warn according to classification and the approval status of the destination.</t>
        </is>
      </c>
      <c r="H7" s="6" t="inlineStr">
        <is>
          <t>Upload block and warn logs; classification policy; file type coverage matrix.</t>
        </is>
      </c>
      <c r="I7" s="6" t="inlineStr">
        <is>
          <t>Upload labelled test files of each supported type to approved and unapproved services. Confirm the expected action and log entry for each.</t>
        </is>
      </c>
      <c r="J7" s="6" t="inlineStr">
        <is>
          <t>DLP Team</t>
        </is>
      </c>
      <c r="K7" s="6" t="inlineStr">
        <is>
          <t>Quarterly</t>
        </is>
      </c>
      <c r="L7" s="6" t="inlineStr">
        <is>
          <t>AI-R01, AI-R03, AI-R27</t>
        </is>
      </c>
      <c r="M7" s="6" t="inlineStr">
        <is>
          <t>LLM02:2025 Sensitive Information Disclosure</t>
        </is>
      </c>
      <c r="N7" s="6" t="inlineStr">
        <is>
          <t>AML.T0057 LLM Data Leakage</t>
        </is>
      </c>
      <c r="O7" s="6" t="inlineStr">
        <is>
          <t>AML.M0020 Generative AI Guardrails</t>
        </is>
      </c>
      <c r="P7" s="6" t="inlineStr">
        <is>
          <t>MEASURE 2.10; MANAGE 4.1</t>
        </is>
      </c>
      <c r="Q7" s="6" t="inlineStr">
        <is>
          <t>A.9.2 Processes for responsible use of AI systems</t>
        </is>
      </c>
      <c r="R7" s="6" t="inlineStr">
        <is>
          <t>A.5.10 Acceptable use of information and other associated assets; A.5.14 Information transfer; A.8.12 Data leakage prevention</t>
        </is>
      </c>
      <c r="S7" s="6" t="inlineStr">
        <is>
          <t>PR.DS Data Security</t>
        </is>
      </c>
      <c r="T7" s="6" t="inlineStr">
        <is>
          <t>CIS 3 Data Protection; CIS 9 Email and Web Browser Protections</t>
        </is>
      </c>
      <c r="U7" s="6" t="inlineStr">
        <is>
          <t>CC6.7 Transmission, movement and removal of information; C1.1 Identification of confidential information</t>
        </is>
      </c>
      <c r="V7" s="6" t="n">
        <v>6</v>
      </c>
    </row>
    <row r="8" ht="120" customHeight="1">
      <c r="A8" s="140" t="inlineStr">
        <is>
          <t>AI-CTRL-004</t>
        </is>
      </c>
      <c r="B8" s="140" t="inlineStr">
        <is>
          <t>IDE AI Governance</t>
        </is>
      </c>
      <c r="C8" s="140" t="inlineStr">
        <is>
          <t>Discovery and Workforce AI Use</t>
        </is>
      </c>
      <c r="D8" s="140" t="inlineStr">
        <is>
          <t>Advanced</t>
        </is>
      </c>
      <c r="E8" s="140" t="inlineStr">
        <is>
          <t>IDE AI</t>
        </is>
      </c>
      <c r="F8" s="140" t="inlineStr">
        <is>
          <t>Monitor and control AI coding assistants, source code sharing and secret leakage.</t>
        </is>
      </c>
      <c r="G8" s="140" t="inlineStr">
        <is>
          <t>Inventory AI coding assistants and extensions. Detect proprietary source code and secrets in assistant traffic, restrict assistants on restricted repositories, and attribute activity to developer, device and IDE.</t>
        </is>
      </c>
      <c r="H8" s="140" t="inlineStr">
        <is>
          <t>IDE assistant inventory; secret and source code detection events; repository policy; developer rules.</t>
        </is>
      </c>
      <c r="I8" s="140" t="inlineStr">
        <is>
          <t>Send seeded secrets and marked source code through each approved assistant. Confirm detection, policy action and attribution. Confirm an unapproved extension is discovered.</t>
        </is>
      </c>
      <c r="J8" s="140" t="inlineStr">
        <is>
          <t>DevSecOps</t>
        </is>
      </c>
      <c r="K8" s="140" t="inlineStr">
        <is>
          <t>Quarterly</t>
        </is>
      </c>
      <c r="L8" s="140" t="inlineStr">
        <is>
          <t>AI-R04, AI-R22</t>
        </is>
      </c>
      <c r="M8" s="140" t="inlineStr">
        <is>
          <t>LLM02:2025 Sensitive Information Disclosure; LLM03:2025 Supply Chain</t>
        </is>
      </c>
      <c r="N8" s="140" t="inlineStr">
        <is>
          <t>AML.T0057 LLM Data Leakage; AML.T0055 Unsecured Credentials</t>
        </is>
      </c>
      <c r="O8" s="140" t="inlineStr">
        <is>
          <t>None published in MITRE ATLAS mitigations. The wiki's own identifier applies: AI-CTRL-004.</t>
        </is>
      </c>
      <c r="P8" s="140" t="inlineStr">
        <is>
          <t>GOVERN 6.1; MEASURE 2.10; MANAGE 4.1</t>
        </is>
      </c>
      <c r="Q8" s="140" t="inlineStr">
        <is>
          <t>A.9.2 Processes for responsible use of AI systems; A.4.4 Tooling resources</t>
        </is>
      </c>
      <c r="R8" s="140" t="inlineStr">
        <is>
          <t>A.8.4 Access to source code; A.8.12 Data leakage prevention; A.8.28 Secure coding; A.8.1 User endpoint devices</t>
        </is>
      </c>
      <c r="S8" s="140" t="inlineStr">
        <is>
          <t>PR.DS Data Security; PR.PS Platform Security</t>
        </is>
      </c>
      <c r="T8" s="140" t="inlineStr">
        <is>
          <t>CIS 3 Data Protection; CIS 16 Application Software Security</t>
        </is>
      </c>
      <c r="U8" s="140" t="inlineStr">
        <is>
          <t>CC6.7 Transmission, movement and removal of information; CC8.1 Change management</t>
        </is>
      </c>
      <c r="V8" s="140" t="n">
        <v>19</v>
      </c>
    </row>
    <row r="9" ht="120" customHeight="1">
      <c r="A9" s="6" t="inlineStr">
        <is>
          <t>AI-CTRL-005</t>
        </is>
      </c>
      <c r="B9" s="6" t="inlineStr">
        <is>
          <t>Runtime AI Security</t>
        </is>
      </c>
      <c r="C9" s="6" t="inlineStr">
        <is>
          <t>Application Runtime</t>
        </is>
      </c>
      <c r="D9" s="6" t="inlineStr">
        <is>
          <t>Baseline</t>
        </is>
      </c>
      <c r="E9" s="6" t="inlineStr">
        <is>
          <t>Custom AI Applications / AI APIs</t>
        </is>
      </c>
      <c r="F9" s="6" t="inlineStr">
        <is>
          <t>Protect custom AI applications from prompt injection, misuse and output leakage.</t>
        </is>
      </c>
      <c r="G9" s="6" t="inlineStr">
        <is>
          <t>Inspect inputs and retrieved content for direct and indirect prompt injection and jailbreaks. Treat retrieved text as untrusted data. Protect the system prompt, and keep high-privilege tools out of sessions that read untrusted content.</t>
        </is>
      </c>
      <c r="H9" s="6" t="inlineStr">
        <is>
          <t>Prompt injection test reports; runtime logs; guardrail configuration; bypass test results.</t>
        </is>
      </c>
      <c r="I9" s="6" t="inlineStr">
        <is>
          <t>Run the prompt injection and jailbreak cases with the control disabled and then enabled. Record attack success rate in both states against the agreed threshold.</t>
        </is>
      </c>
      <c r="J9" s="6" t="inlineStr">
        <is>
          <t>AppSec</t>
        </is>
      </c>
      <c r="K9" s="6" t="inlineStr">
        <is>
          <t>Before each release and quarterly</t>
        </is>
      </c>
      <c r="L9" s="6" t="inlineStr">
        <is>
          <t>AI-R05, AI-R06, AI-R24</t>
        </is>
      </c>
      <c r="M9" s="6" t="inlineStr">
        <is>
          <t>LLM01:2025 Prompt Injection; LLM07:2025 System Prompt Leakage; ASI01 Agent Goal Hijack</t>
        </is>
      </c>
      <c r="N9" s="6" t="inlineStr">
        <is>
          <t>AML.T0051 LLM Prompt Injection; AML.T0054 LLM Jailbreak; AML.T0056 Extract LLM System Prompt; AML.T0068 LLM Prompt Obfuscation; AML.T0093 Prompt Infiltration via Public-Facing Application</t>
        </is>
      </c>
      <c r="O9" s="6" t="inlineStr">
        <is>
          <t>AML.M0020 Generative AI Guardrails; AML.M0021 Generative AI Guidelines; AML.M0033 Input and Output Validation for AI Agent Components</t>
        </is>
      </c>
      <c r="P9" s="6" t="inlineStr">
        <is>
          <t>MEASURE 2.7; MANAGE 1.3</t>
        </is>
      </c>
      <c r="Q9" s="6" t="inlineStr">
        <is>
          <t>A.6.2.4 AI system verification and validation; A.6.2.6 AI system operation and monitoring</t>
        </is>
      </c>
      <c r="R9" s="6" t="inlineStr">
        <is>
          <t>A.8.16 Monitoring activities; A.8.26 Application security requirements; A.8.27 Secure system architecture and engineering principles</t>
        </is>
      </c>
      <c r="S9" s="6" t="inlineStr">
        <is>
          <t>PR.PS Platform Security; PR.DS Data Security; DE.CM Continuous Monitoring</t>
        </is>
      </c>
      <c r="T9" s="6" t="inlineStr">
        <is>
          <t>CIS 13 Network Monitoring and Defense; CIS 16 Application Software Security</t>
        </is>
      </c>
      <c r="U9" s="6" t="inlineStr">
        <is>
          <t>CC6.6 Protection against threats from outside the boundary; CC7.2 Monitoring for anomalies</t>
        </is>
      </c>
      <c r="V9" s="6" t="n">
        <v>52</v>
      </c>
    </row>
    <row r="10" ht="120" customHeight="1">
      <c r="A10" s="140" t="inlineStr">
        <is>
          <t>AI-CTRL-006</t>
        </is>
      </c>
      <c r="B10" s="140" t="inlineStr">
        <is>
          <t>Agent Governance</t>
        </is>
      </c>
      <c r="C10" s="140" t="inlineStr">
        <is>
          <t>Agents and Tools</t>
        </is>
      </c>
      <c r="D10" s="140" t="inlineStr">
        <is>
          <t>Baseline</t>
        </is>
      </c>
      <c r="E10" s="140" t="inlineStr">
        <is>
          <t>Agents</t>
        </is>
      </c>
      <c r="F10" s="140" t="inlineStr">
        <is>
          <t>Monitor AI agents, tool calls, API access and autonomous actions.</t>
        </is>
      </c>
      <c r="G10" s="140" t="inlineStr">
        <is>
          <t>Keep a registry of every agent with its owner, purpose, model, tools, data scope and approval status. Monitor decisions, tool calls and delegation chains, and detect unregistered agents. Keep a map of which agents may call or delegate to which, and alert on links outside it.</t>
        </is>
      </c>
      <c r="H10" s="140" t="inlineStr">
        <is>
          <t>Agent registry; tool access logs; delegation maps; shadow agent reports.</t>
        </is>
      </c>
      <c r="I10" s="140" t="inlineStr">
        <is>
          <t>Deploy registered and unregistered test agents. Confirm the unregistered agents are detected, and that owner, tools and data scope are correct for the registered ones.</t>
        </is>
      </c>
      <c r="J10" s="140" t="inlineStr">
        <is>
          <t>AI Platform Team</t>
        </is>
      </c>
      <c r="K10" s="140" t="inlineStr">
        <is>
          <t>Quarterly</t>
        </is>
      </c>
      <c r="L10" s="140" t="inlineStr">
        <is>
          <t>AI-R07, AI-R25</t>
        </is>
      </c>
      <c r="M10" s="140" t="inlineStr">
        <is>
          <t>LLM06:2025 Excessive Agency; ASI10 Rogue Agents; ASI07 Insecure Inter-Agent Communication</t>
        </is>
      </c>
      <c r="N10" s="140" t="inlineStr">
        <is>
          <t>AML.T0081 Modify AI Agent Configuration</t>
        </is>
      </c>
      <c r="O10" s="140" t="inlineStr">
        <is>
          <t>AML.M0038 AI Agent Scope Drift Detection; AML.M0024 AI Telemetry Logging</t>
        </is>
      </c>
      <c r="P10" s="140" t="inlineStr">
        <is>
          <t>GOVERN 1.6; MEASURE 2.4</t>
        </is>
      </c>
      <c r="Q10" s="140" t="inlineStr">
        <is>
          <t>A.4.2 Resource documentation; A.6.2.6 AI system operation and monitoring</t>
        </is>
      </c>
      <c r="R10" s="140" t="inlineStr">
        <is>
          <t>A.5.15 Access control; A.8.15 Logging; A.8.16 Monitoring activities</t>
        </is>
      </c>
      <c r="S10" s="140" t="inlineStr">
        <is>
          <t>PR.AA Identity Management, Authentication, and Access Control; DE.CM Continuous Monitoring</t>
        </is>
      </c>
      <c r="T10" s="140" t="inlineStr">
        <is>
          <t>CIS 6 Access Control Management; CIS 8 Audit Log Management</t>
        </is>
      </c>
      <c r="U10" s="140" t="inlineStr">
        <is>
          <t>CC6.1 Logical access security; CC7.2 Monitoring for anomalies</t>
        </is>
      </c>
      <c r="V10" s="140" t="n">
        <v>15</v>
      </c>
    </row>
    <row r="11" ht="120" customHeight="1">
      <c r="A11" s="6" t="inlineStr">
        <is>
          <t>AI-CTRL-007</t>
        </is>
      </c>
      <c r="B11" s="6" t="inlineStr">
        <is>
          <t>Data Sovereignty</t>
        </is>
      </c>
      <c r="C11" s="6" t="inlineStr">
        <is>
          <t>Governance and Compliance</t>
        </is>
      </c>
      <c r="D11" s="6" t="inlineStr">
        <is>
          <t>Advanced</t>
        </is>
      </c>
      <c r="E11" s="6" t="inlineStr">
        <is>
          <t>Browser AI / IDE AI / AI APIs / Custom AI Applications / Agents / Vendors</t>
        </is>
      </c>
      <c r="F11" s="6" t="inlineStr">
        <is>
          <t>Ensure prompts, logs and uploads are processed and retained in approved locations.</t>
        </is>
      </c>
      <c r="G11" s="6" t="inlineStr">
        <is>
          <t>Confirm where prompts, uploads, outputs, metadata and logs are processed and stored, including the control plane and support access. Configure retention and training exclusion, and record any cross-border transfer.</t>
        </is>
      </c>
      <c r="H11" s="6" t="inlineStr">
        <is>
          <t>Residency attestation; retention configuration; training exclusion terms; administrative access logs.</t>
        </is>
      </c>
      <c r="I11" s="6" t="inlineStr">
        <is>
          <t>Trace a test prompt and upload end to end and verify processing and storage locations against the approved list. Verify retention settings by checking that expired records are gone.</t>
        </is>
      </c>
      <c r="J11" s="6" t="inlineStr">
        <is>
          <t>GRC / Legal</t>
        </is>
      </c>
      <c r="K11" s="6" t="inlineStr">
        <is>
          <t>Annually and on vendor change</t>
        </is>
      </c>
      <c r="L11" s="6" t="inlineStr">
        <is>
          <t>AI-R10</t>
        </is>
      </c>
      <c r="M11" s="6" t="inlineStr">
        <is>
          <t>None published in the OWASP Top 10 lists. The wiki's own identifier applies: AI-CTRL-007.</t>
        </is>
      </c>
      <c r="N11" s="6" t="inlineStr">
        <is>
          <t>None published in MITRE ATLAS techniques. The wiki's own identifier applies: AI-CTRL-007.</t>
        </is>
      </c>
      <c r="O11" s="6" t="inlineStr">
        <is>
          <t>None published in MITRE ATLAS mitigations. The wiki's own identifier applies: AI-CTRL-007.</t>
        </is>
      </c>
      <c r="P11" s="6" t="inlineStr">
        <is>
          <t>GOVERN 1.1; GOVERN 6.1; MAP 4.1</t>
        </is>
      </c>
      <c r="Q11" s="6" t="inlineStr">
        <is>
          <t>A.10.3 Suppliers; A.4.5 System and computing resources</t>
        </is>
      </c>
      <c r="R11" s="6" t="inlineStr">
        <is>
          <t>A.5.14 Information transfer; A.5.23 Information security for use of cloud services; A.5.31 Legal, statutory, regulatory and contractual requirements; A.5.33 Protection of records; A.8.10 Information deletion</t>
        </is>
      </c>
      <c r="S11" s="6" t="inlineStr">
        <is>
          <t>GV.OC Organizational Context; GV.SC Cybersecurity Supply Chain Risk Management; PR.DS Data Security</t>
        </is>
      </c>
      <c r="T11" s="6" t="inlineStr">
        <is>
          <t>CIS 3 Data Protection; CIS 15 Service Provider Management</t>
        </is>
      </c>
      <c r="U11" s="6" t="inlineStr">
        <is>
          <t>C1.1 Identification of confidential information; C1.2 Disposal of confidential information; CC9.2 Vendor and business partner risk; P4.2 Retention</t>
        </is>
      </c>
      <c r="V11" s="6" t="n">
        <v>15</v>
      </c>
    </row>
    <row r="12" ht="120" customHeight="1">
      <c r="A12" s="140" t="inlineStr">
        <is>
          <t>AI-CTRL-008</t>
        </is>
      </c>
      <c r="B12" s="140" t="inlineStr">
        <is>
          <t>Auditability</t>
        </is>
      </c>
      <c r="C12" s="140" t="inlineStr">
        <is>
          <t>Detection and Response</t>
        </is>
      </c>
      <c r="D12" s="140" t="inlineStr">
        <is>
          <t>Baseline</t>
        </is>
      </c>
      <c r="E12" s="140" t="inlineStr">
        <is>
          <t>Browser AI / IDE AI / AI APIs / Custom AI Applications / Agents</t>
        </is>
      </c>
      <c r="F12" s="140" t="inlineStr">
        <is>
          <t>Maintain logs for prompts, responses, files, users, devices, applications and actions.</t>
        </is>
      </c>
      <c r="G12" s="140" t="inlineStr">
        <is>
          <t>Log prompts, responses, uploads, retrieved sources, model calls, tool calls and policy decisions according to policy. Records must be timestamped, attributable, exportable and retained for the approved period. Record enough detail to validate, investigate, attribute and reconstruct each AI-assisted action, while masking or tokenising payment card and other sensitive data before it is written.</t>
        </is>
      </c>
      <c r="H12" s="140" t="inlineStr">
        <is>
          <t>Exportable audit records; log schema; retention policy; sample reconstruction.</t>
        </is>
      </c>
      <c r="I12" s="140" t="inlineStr">
        <is>
          <t>Pick a completed test interaction and reconstruct it from logs alone: who, what was sent, what was retrieved, what the model returned and what action followed.</t>
        </is>
      </c>
      <c r="J12" s="140" t="inlineStr">
        <is>
          <t>Security Engineering</t>
        </is>
      </c>
      <c r="K12" s="140" t="inlineStr">
        <is>
          <t>Semi-annually</t>
        </is>
      </c>
      <c r="L12" s="140" t="inlineStr">
        <is>
          <t>AI-R09, AI-R15, AI-R26</t>
        </is>
      </c>
      <c r="M12" s="140" t="inlineStr">
        <is>
          <t>None published in the OWASP Top 10 lists. The wiki's own identifier applies: AI-CTRL-008.</t>
        </is>
      </c>
      <c r="N12" s="140" t="inlineStr">
        <is>
          <t>None published in MITRE ATLAS techniques. The wiki's own identifier applies: AI-CTRL-008.</t>
        </is>
      </c>
      <c r="O12" s="140" t="inlineStr">
        <is>
          <t>AML.M0024 AI Telemetry Logging</t>
        </is>
      </c>
      <c r="P12" s="140" t="inlineStr">
        <is>
          <t>MEASURE 2.4; MEASURE 2.8; MANAGE 4.1</t>
        </is>
      </c>
      <c r="Q12" s="140" t="inlineStr">
        <is>
          <t>A.6.2.8 AI system recording of event logs</t>
        </is>
      </c>
      <c r="R12" s="140" t="inlineStr">
        <is>
          <t>A.5.28 Collection of evidence; A.5.33 Protection of records; A.8.15 Logging; A.8.17 Clock synchronization</t>
        </is>
      </c>
      <c r="S12" s="140" t="inlineStr">
        <is>
          <t>PR.PS Platform Security; DE.CM Continuous Monitoring</t>
        </is>
      </c>
      <c r="T12" s="140" t="inlineStr">
        <is>
          <t>CIS 8 Audit Log Management</t>
        </is>
      </c>
      <c r="U12" s="140" t="inlineStr">
        <is>
          <t>CC7.2 Monitoring for anomalies</t>
        </is>
      </c>
      <c r="V12" s="140" t="n">
        <v>23</v>
      </c>
    </row>
    <row r="13" ht="120" customHeight="1">
      <c r="A13" s="6" t="inlineStr">
        <is>
          <t>AI-CTRL-009</t>
        </is>
      </c>
      <c r="B13" s="6" t="inlineStr">
        <is>
          <t>SOC Integration</t>
        </is>
      </c>
      <c r="C13" s="6" t="inlineStr">
        <is>
          <t>Detection and Response</t>
        </is>
      </c>
      <c r="D13" s="6" t="inlineStr">
        <is>
          <t>Advanced</t>
        </is>
      </c>
      <c r="E13" s="6" t="inlineStr">
        <is>
          <t>Browser AI / IDE AI / AI APIs / Custom AI Applications / Agents</t>
        </is>
      </c>
      <c r="F13" s="6" t="inlineStr">
        <is>
          <t>Forward AI security events and logs to monitoring and response platforms.</t>
        </is>
      </c>
      <c r="G13" s="6" t="inlineStr">
        <is>
          <t>Forward AI security events to the SIEM with a documented schema. Build detections and runbooks for AI-specific events, and correlate them with identity, endpoint and network telemetry.</t>
        </is>
      </c>
      <c r="H13" s="6" t="inlineStr">
        <is>
          <t>SIEM event IDs; parser mapping; detection rules; runbooks; alert samples.</t>
        </is>
      </c>
      <c r="I13" s="6" t="inlineStr">
        <is>
          <t>Trigger each AI event type in the lab and confirm it arrives in the SIEM within the stated time, parses correctly and raises the expected alert.</t>
        </is>
      </c>
      <c r="J13" s="6" t="inlineStr">
        <is>
          <t>SOC</t>
        </is>
      </c>
      <c r="K13" s="6" t="inlineStr">
        <is>
          <t>Semi-annually</t>
        </is>
      </c>
      <c r="L13" s="6" t="inlineStr">
        <is>
          <t>AI-R09</t>
        </is>
      </c>
      <c r="M13" s="6" t="inlineStr">
        <is>
          <t>None published in the OWASP Top 10 lists. The wiki's own identifier applies: AI-CTRL-009.</t>
        </is>
      </c>
      <c r="N13" s="6" t="inlineStr">
        <is>
          <t>None published in MITRE ATLAS techniques. The wiki's own identifier applies: AI-CTRL-009.</t>
        </is>
      </c>
      <c r="O13" s="6" t="inlineStr">
        <is>
          <t>AML.M0024 AI Telemetry Logging</t>
        </is>
      </c>
      <c r="P13" s="6" t="inlineStr">
        <is>
          <t>MEASURE 2.4; MEASURE 3.1; MANAGE 4.1</t>
        </is>
      </c>
      <c r="Q13" s="6" t="inlineStr">
        <is>
          <t>A.6.2.6 AI system operation and monitoring; A.6.2.8 AI system recording of event logs</t>
        </is>
      </c>
      <c r="R13" s="6" t="inlineStr">
        <is>
          <t>A.5.25 Assessment and decision on information security events; A.8.15 Logging; A.8.16 Monitoring activities; A.5.37 Documented operating procedures</t>
        </is>
      </c>
      <c r="S13" s="6" t="inlineStr">
        <is>
          <t>DE.CM Continuous Monitoring; DE.AE Adverse Event Analysis</t>
        </is>
      </c>
      <c r="T13" s="6" t="inlineStr">
        <is>
          <t>CIS 8 Audit Log Management; CIS 13 Network Monitoring and Defense</t>
        </is>
      </c>
      <c r="U13" s="6" t="inlineStr">
        <is>
          <t>CC7.2 Monitoring for anomalies; CC7.3 Evaluation of security events</t>
        </is>
      </c>
      <c r="V13" s="6" t="n">
        <v>22</v>
      </c>
    </row>
    <row r="14" ht="120" customHeight="1">
      <c r="A14" s="140" t="inlineStr">
        <is>
          <t>AI-CTRL-010</t>
        </is>
      </c>
      <c r="B14" s="140" t="inlineStr">
        <is>
          <t>Policy Enforcement</t>
        </is>
      </c>
      <c r="C14" s="140" t="inlineStr">
        <is>
          <t>Discovery and Workforce AI Use</t>
        </is>
      </c>
      <c r="D14" s="140" t="inlineStr">
        <is>
          <t>Advanced</t>
        </is>
      </c>
      <c r="E14" s="140" t="inlineStr">
        <is>
          <t>Browser AI / IDE AI / AI APIs / Custom AI Applications</t>
        </is>
      </c>
      <c r="F14" s="140" t="inlineStr">
        <is>
          <t>Support monitor, warn, redact, block and allow policies based on risk and classification.</t>
        </is>
      </c>
      <c r="G14" s="140" t="inlineStr">
        <is>
          <t>Apply graduated actions by user group, destination, data classification and risk. Coach users at the point of use, resist simple bypass, and manage exceptions with an owner and expiry date.</t>
        </is>
      </c>
      <c r="H14" s="140" t="inlineStr">
        <is>
          <t>Policy configuration; action logs by type; exception register; bypass test results.</t>
        </is>
      </c>
      <c r="I14" s="140" t="inlineStr">
        <is>
          <t>For each policy action, run a matching test and confirm the action and log entry. Attempt documented bypass methods and record the result.</t>
        </is>
      </c>
      <c r="J14" s="140" t="inlineStr">
        <is>
          <t>AI Security Team</t>
        </is>
      </c>
      <c r="K14" s="140" t="inlineStr">
        <is>
          <t>Quarterly</t>
        </is>
      </c>
      <c r="L14" s="140" t="inlineStr">
        <is>
          <t>AI-R01, AI-R02, AI-R03</t>
        </is>
      </c>
      <c r="M14" s="140" t="inlineStr">
        <is>
          <t>LLM02:2025 Sensitive Information Disclosure</t>
        </is>
      </c>
      <c r="N14" s="140" t="inlineStr">
        <is>
          <t>AML.T0057 LLM Data Leakage</t>
        </is>
      </c>
      <c r="O14" s="140" t="inlineStr">
        <is>
          <t>AML.M0020 Generative AI Guardrails</t>
        </is>
      </c>
      <c r="P14" s="140" t="inlineStr">
        <is>
          <t>GOVERN 1.4; MANAGE 1.3</t>
        </is>
      </c>
      <c r="Q14" s="140" t="inlineStr">
        <is>
          <t>A.9.2 Processes for responsible use of AI systems; A.2.2 AI policy</t>
        </is>
      </c>
      <c r="R14" s="140" t="inlineStr">
        <is>
          <t>A.5.10 Acceptable use of information and other associated assets; A.5.12 Classification of information; A.8.12 Data leakage prevention; A.8.23 Web filtering</t>
        </is>
      </c>
      <c r="S14" s="140" t="inlineStr">
        <is>
          <t>GV.PO Policy; PR.DS Data Security</t>
        </is>
      </c>
      <c r="T14" s="140" t="inlineStr">
        <is>
          <t>CIS 3 Data Protection; CIS 9 Email and Web Browser Protections</t>
        </is>
      </c>
      <c r="U14" s="140" t="inlineStr">
        <is>
          <t>CC5.3 Policies and procedures; CC6.7 Transmission, movement and removal of information</t>
        </is>
      </c>
      <c r="V14" s="140" t="n">
        <v>28</v>
      </c>
    </row>
    <row r="15" ht="120" customHeight="1">
      <c r="A15" s="6" t="inlineStr">
        <is>
          <t>AI-CTRL-011</t>
        </is>
      </c>
      <c r="B15" s="6" t="inlineStr">
        <is>
          <t>AI Use-Case Registry and Risk Tiering</t>
        </is>
      </c>
      <c r="C15" s="6" t="inlineStr">
        <is>
          <t>Governance and Compliance</t>
        </is>
      </c>
      <c r="D15" s="6" t="inlineStr">
        <is>
          <t>Baseline</t>
        </is>
      </c>
      <c r="E15" s="6" t="inlineStr">
        <is>
          <t>Browser AI / IDE AI / AI APIs / Custom AI Applications / Agents / Vendors</t>
        </is>
      </c>
      <c r="F15" s="6" t="inlineStr">
        <is>
          <t>Record every AI use case with a business owner and a risk tier that decides which controls apply.</t>
        </is>
      </c>
      <c r="G15" s="6" t="inlineStr">
        <is>
          <t>Require intake and approval before deployment. Record owner, purpose, data, model, users and autonomy for each use case. Assign a risk tier using published criteria, and re-tier when the use case changes. Define what counts as AI use, include third-party and embedded AI, and restrict AI that is not in the registry: block it or treat it as shadow AI to be approved or removed.</t>
        </is>
      </c>
      <c r="H15" s="6" t="inlineStr">
        <is>
          <t>Use-case registry; intake and approval records; tiering criteria; re-tiering history; rule that restricts unlisted AI and records of its enforcement.</t>
        </is>
      </c>
      <c r="I15" s="6" t="inlineStr">
        <is>
          <t>Sample use cases in production and confirm each has a registry entry, an owner and a tier consistent with the criteria. Sample registry entries and confirm they match what is deployed.</t>
        </is>
      </c>
      <c r="J15" s="6" t="inlineStr">
        <is>
          <t>AI Governance Lead</t>
        </is>
      </c>
      <c r="K15" s="6" t="inlineStr">
        <is>
          <t>Quarterly</t>
        </is>
      </c>
      <c r="L15" s="6" t="inlineStr">
        <is>
          <t>AI-R02, AI-R18</t>
        </is>
      </c>
      <c r="M15" s="6" t="inlineStr">
        <is>
          <t>None published in the OWASP Top 10 lists. The wiki's own identifier applies: AI-CTRL-011.</t>
        </is>
      </c>
      <c r="N15" s="6" t="inlineStr">
        <is>
          <t>None published in MITRE ATLAS techniques. The wiki's own identifier applies: AI-CTRL-011.</t>
        </is>
      </c>
      <c r="O15" s="6" t="inlineStr">
        <is>
          <t>None published in MITRE ATLAS mitigations. The wiki's own identifier applies: AI-CTRL-011.</t>
        </is>
      </c>
      <c r="P15" s="6" t="inlineStr">
        <is>
          <t>GOVERN 1.6; GOVERN 1.3; GOVERN 1.7; MAP 1.1</t>
        </is>
      </c>
      <c r="Q15" s="6" t="inlineStr">
        <is>
          <t>A.4.2 Resource documentation; A.5.2 AI system impact assessment process; A.9.4 Intended use of the AI system</t>
        </is>
      </c>
      <c r="R15" s="6" t="inlineStr">
        <is>
          <t>A.5.8 Information security in project management; A.5.9 Inventory of information and other associated assets; A.5.12 Classification of information</t>
        </is>
      </c>
      <c r="S15" s="6" t="inlineStr">
        <is>
          <t>GV.RM Risk Management Strategy; ID.AM Asset Management; ID.RA Risk Assessment</t>
        </is>
      </c>
      <c r="T15" s="6" t="inlineStr">
        <is>
          <t>CIS 1 Inventory and Control of Enterprise Assets; CIS 2 Inventory and Control of Software Assets</t>
        </is>
      </c>
      <c r="U15" s="6" t="inlineStr">
        <is>
          <t>CC3.1 Objectives for risk assessment; CC3.2 Risk identification and analysis</t>
        </is>
      </c>
      <c r="V15" s="6" t="n">
        <v>19</v>
      </c>
    </row>
    <row r="16" ht="120" customHeight="1">
      <c r="A16" s="140" t="inlineStr">
        <is>
          <t>AI-CTRL-012</t>
        </is>
      </c>
      <c r="B16" s="140" t="inlineStr">
        <is>
          <t>AI Policy, Roles and Acceptable Use</t>
        </is>
      </c>
      <c r="C16" s="140" t="inlineStr">
        <is>
          <t>Governance and Compliance</t>
        </is>
      </c>
      <c r="D16" s="140" t="inlineStr">
        <is>
          <t>Baseline</t>
        </is>
      </c>
      <c r="E16" s="140" t="inlineStr">
        <is>
          <t>Browser AI / IDE AI / AI APIs / Custom AI Applications / Agents</t>
        </is>
      </c>
      <c r="F16" s="140" t="inlineStr">
        <is>
          <t>Set and communicate the rules and responsibilities for using and building AI, and map each rule to a control.</t>
        </is>
      </c>
      <c r="G16" s="140" t="inlineStr">
        <is>
          <t>Publish an AI policy and acceptable-use standard with scope, owner and review date. Have the board, or the body that holds that authority, approve an AI strategy that states the organization's approach to AI and its AI risk appetite, and review it at least annually. Define roles and decision rights across the three lines, and record governance decisions. Map each policy statement to a control in this library. Train users and reinforce the rules at the point of use. Align the AI policy with the information security, privacy, data and other organizational policies it touches, and record where they overlap or conflict. Include AI acceptable use in terms of employment and contractor agreements, and handle breaches through the existing disciplinary process.</t>
        </is>
      </c>
      <c r="H16" s="140" t="inlineStr">
        <is>
          <t>Approved policy; board-approved AI strategy and risk appetite with its review record; roles and responsibilities record; governance decision log; policy-to-control mapping; training and acknowledgement records; policy alignment record; employment and contractor terms covering AI use.</t>
        </is>
      </c>
      <c r="I16" s="140" t="inlineStr">
        <is>
          <t>Select policy statements and trace each to a control and to evidence that it operates. Confirm the policy was reviewed within its cycle.</t>
        </is>
      </c>
      <c r="J16" s="140" t="inlineStr">
        <is>
          <t>GRC</t>
        </is>
      </c>
      <c r="K16" s="140" t="inlineStr">
        <is>
          <t>Annually</t>
        </is>
      </c>
      <c r="L16" s="140" t="inlineStr">
        <is>
          <t>AI-R02, AI-R03, AI-R18, AI-R19, AI-R27, AI-R28</t>
        </is>
      </c>
      <c r="M16" s="140" t="inlineStr">
        <is>
          <t>None published in the OWASP Top 10 lists. The wiki's own identifier applies: AI-CTRL-012.</t>
        </is>
      </c>
      <c r="N16" s="140" t="inlineStr">
        <is>
          <t>None published in MITRE ATLAS techniques. The wiki's own identifier applies: AI-CTRL-012.</t>
        </is>
      </c>
      <c r="O16" s="140" t="inlineStr">
        <is>
          <t>AML.M0018 User Training</t>
        </is>
      </c>
      <c r="P16" s="140" t="inlineStr">
        <is>
          <t>GOVERN 1.2; GOVERN 1.4; GOVERN 2.1; GOVERN 2.2</t>
        </is>
      </c>
      <c r="Q16" s="140" t="inlineStr">
        <is>
          <t>A.2.2 AI policy; A.2.4 Review of the AI policy; A.3.2 AI roles and responsibilities; A.2.3 Alignment with other organizational policies</t>
        </is>
      </c>
      <c r="R16" s="140" t="inlineStr">
        <is>
          <t>A.5.1 Policies for information security; A.5.2 Information security roles and responsibilities; A.5.4 Management responsibilities; A.5.10 Acceptable use of information and other associated assets; A.6.2 Terms and conditions of employment; A.6.4 Disciplinary process</t>
        </is>
      </c>
      <c r="S16" s="140" t="inlineStr">
        <is>
          <t>GV.PO Policy; GV.RR Roles, Responsibilities, and Authorities</t>
        </is>
      </c>
      <c r="T16" s="140" t="inlineStr">
        <is>
          <t>None published in the CIS Controls. The wiki's own identifier applies: AI-CTRL-012.</t>
        </is>
      </c>
      <c r="U16" s="140" t="inlineStr">
        <is>
          <t>CC1.3 Structures, reporting lines and responsibilities; CC2.2 Internal communication; CC5.3 Policies and procedures</t>
        </is>
      </c>
      <c r="V16" s="140" t="n">
        <v>8</v>
      </c>
    </row>
    <row r="17" ht="120" customHeight="1">
      <c r="A17" s="6" t="inlineStr">
        <is>
          <t>AI-CTRL-013</t>
        </is>
      </c>
      <c r="B17" s="6" t="inlineStr">
        <is>
          <t>Privacy and Regulatory Compliance</t>
        </is>
      </c>
      <c r="C17" s="6" t="inlineStr">
        <is>
          <t>Governance and Compliance</t>
        </is>
      </c>
      <c r="D17" s="6" t="inlineStr">
        <is>
          <t>Baseline</t>
        </is>
      </c>
      <c r="E17" s="6" t="inlineStr">
        <is>
          <t>Browser AI / AI APIs / Custom AI Applications / Agents / Vendors</t>
        </is>
      </c>
      <c r="F17" s="6" t="inlineStr">
        <is>
          <t>Meet privacy and regulatory obligations for personal data handled by AI systems.</t>
        </is>
      </c>
      <c r="G17" s="6" t="inlineStr">
        <is>
          <t>Complete a privacy impact assessment for AI systems that process personal data. Define lawful basis, minimization, retention and data subject request handling, including data held in prompts, logs, indexes and memory.</t>
        </is>
      </c>
      <c r="H17" s="6" t="inlineStr">
        <is>
          <t>Impact assessments; records of processing; data subject request tests; evidence exports.</t>
        </is>
      </c>
      <c r="I17" s="6" t="inlineStr">
        <is>
          <t>Run a data subject access and deletion request against a test identity and confirm the data is found and removed across prompts, logs, indexes and memory.</t>
        </is>
      </c>
      <c r="J17" s="6" t="inlineStr">
        <is>
          <t>Privacy Office / Legal</t>
        </is>
      </c>
      <c r="K17" s="6" t="inlineStr">
        <is>
          <t>Annually and on material change</t>
        </is>
      </c>
      <c r="L17" s="6" t="inlineStr">
        <is>
          <t>AI-R03, AI-R10, AI-R27, AI-R28</t>
        </is>
      </c>
      <c r="M17" s="6" t="inlineStr">
        <is>
          <t>LLM02:2025 Sensitive Information Disclosure</t>
        </is>
      </c>
      <c r="N17" s="6" t="inlineStr">
        <is>
          <t>AML.T0057 LLM Data Leakage</t>
        </is>
      </c>
      <c r="O17" s="6" t="inlineStr">
        <is>
          <t>None published in MITRE ATLAS mitigations. The wiki's own identifier applies: AI-CTRL-013.</t>
        </is>
      </c>
      <c r="P17" s="6" t="inlineStr">
        <is>
          <t>GOVERN 1.1; MAP 5.1; MEASURE 2.10</t>
        </is>
      </c>
      <c r="Q17" s="6" t="inlineStr">
        <is>
          <t>A.5.2 AI system impact assessment process; A.5.3 Documentation of AI system impact assessments; A.5.4 Assessing AI system impact on individuals or groups of individuals</t>
        </is>
      </c>
      <c r="R17" s="6" t="inlineStr">
        <is>
          <t>A.5.31 Legal, statutory, regulatory and contractual requirements; A.5.34 Privacy and protection of PII; A.8.10 Information deletion; A.8.11 Data masking</t>
        </is>
      </c>
      <c r="S17" s="6" t="inlineStr">
        <is>
          <t>GV.OC Organizational Context; PR.DS Data Security</t>
        </is>
      </c>
      <c r="T17" s="6" t="inlineStr">
        <is>
          <t>CIS 3 Data Protection</t>
        </is>
      </c>
      <c r="U17" s="6" t="inlineStr">
        <is>
          <t>P1.1 Notice; P3.1 Collection; P4.1 Use; P4.2 Retention; P5.1 Access by data subjects</t>
        </is>
      </c>
      <c r="V17" s="6" t="n">
        <v>41</v>
      </c>
    </row>
    <row r="18" ht="120" customHeight="1">
      <c r="A18" s="140" t="inlineStr">
        <is>
          <t>AI-CTRL-014</t>
        </is>
      </c>
      <c r="B18" s="140" t="inlineStr">
        <is>
          <t>Third-Party and Vendor AI Assurance</t>
        </is>
      </c>
      <c r="C18" s="140" t="inlineStr">
        <is>
          <t>Governance and Compliance</t>
        </is>
      </c>
      <c r="D18" s="140" t="inlineStr">
        <is>
          <t>Baseline</t>
        </is>
      </c>
      <c r="E18" s="140" t="inlineStr">
        <is>
          <t>Vendors / AI APIs / Browser AI</t>
        </is>
      </c>
      <c r="F18" s="140" t="inlineStr">
        <is>
          <t>Assess AI vendors and embedded AI features before use, and reassess when they change.</t>
        </is>
      </c>
      <c r="G18" s="140" t="inlineStr">
        <is>
          <t>Evaluate vendors against the vendor evaluation framework. Cover training use of customer data, retention, sub-processors, model changes and incident notification in contracts; by default the contract should bar the provider from using personal or confidential data to train or improve its models unless the organization has authorised it. Include audit rights, a right to have the service suspended, and exit and concentration risk where few providers can replace it. Re-evaluate when a vendor changes model or terms. Treat AI built into other products (document readers, content tools, chat widgets on payment pages) as a third-party service when it can reach sensitive data, list the provider with other service providers, and review its due diligence evidence on a set cycle. At contract end, have the provider return or delete the organization's data, fine-tuned models, embeddings and logs, and get written confirmation.</t>
        </is>
      </c>
      <c r="H18" s="140" t="inlineStr">
        <is>
          <t>Vendor assessments; contract clauses; sub-processor list; model change notices; exit return or deletion confirmation.</t>
        </is>
      </c>
      <c r="I18" s="140" t="inlineStr">
        <is>
          <t>Sample AI vendors in use and confirm each has a current assessment and the required contract terms. Confirm the last model or terms change triggered a review.</t>
        </is>
      </c>
      <c r="J18" s="140" t="inlineStr">
        <is>
          <t>Procurement / GRC</t>
        </is>
      </c>
      <c r="K18" s="140" t="inlineStr">
        <is>
          <t>Annually and on vendor change</t>
        </is>
      </c>
      <c r="L18" s="140" t="inlineStr">
        <is>
          <t>AI-R08, AI-R10, AI-R16</t>
        </is>
      </c>
      <c r="M18" s="140" t="inlineStr">
        <is>
          <t>LLM03:2025 Supply Chain</t>
        </is>
      </c>
      <c r="N18" s="140" t="inlineStr">
        <is>
          <t>AML.T0010 AI Supply Chain Compromise; AML.T0109 AI Supply Chain Rug Pull</t>
        </is>
      </c>
      <c r="O18" s="140" t="inlineStr">
        <is>
          <t>None published in MITRE ATLAS mitigations. The wiki's own identifier applies: AI-CTRL-014.</t>
        </is>
      </c>
      <c r="P18" s="140" t="inlineStr">
        <is>
          <t>GOVERN 6.1; GOVERN 6.2; MANAGE 3.1</t>
        </is>
      </c>
      <c r="Q18" s="140" t="inlineStr">
        <is>
          <t>A.10.2 Allocating responsibilities; A.10.3 Suppliers</t>
        </is>
      </c>
      <c r="R18" s="140" t="inlineStr">
        <is>
          <t>A.5.19 Information security in supplier relationships; A.5.20 Addressing information security within supplier agreements; A.5.21 Managing information security in the ICT supply chain; A.5.22 Monitoring, review and change management of supplier services; A.5.23 Information security for use of cloud services; A.5.11 Return of assets</t>
        </is>
      </c>
      <c r="S18" s="140" t="inlineStr">
        <is>
          <t>GV.SC Cybersecurity Supply Chain Risk Management</t>
        </is>
      </c>
      <c r="T18" s="140" t="inlineStr">
        <is>
          <t>CIS 15 Service Provider Management</t>
        </is>
      </c>
      <c r="U18" s="140" t="inlineStr">
        <is>
          <t>CC9.2 Vendor and business partner risk</t>
        </is>
      </c>
      <c r="V18" s="140" t="n">
        <v>26</v>
      </c>
    </row>
    <row r="19" ht="120" customHeight="1">
      <c r="A19" s="6" t="inlineStr">
        <is>
          <t>AI-CTRL-015</t>
        </is>
      </c>
      <c r="B19" s="6" t="inlineStr">
        <is>
          <t>Human and Agent Identity</t>
        </is>
      </c>
      <c r="C19" s="6" t="inlineStr">
        <is>
          <t>Identity and Access</t>
        </is>
      </c>
      <c r="D19" s="6" t="inlineStr">
        <is>
          <t>Baseline</t>
        </is>
      </c>
      <c r="E19" s="6" t="inlineStr">
        <is>
          <t>AI APIs / Custom AI Applications / Agents</t>
        </is>
      </c>
      <c r="F19" s="6" t="inlineStr">
        <is>
          <t>Give every user, application and agent that uses AI a unique, attributable identity.</t>
        </is>
      </c>
      <c r="G19" s="6" t="inlineStr">
        <is>
          <t>Issue a unique identity to each agent and AI workload, with a named human sponsor. Do not share keys between workloads. Recertify identities on a schedule and remove them when the sponsor leaves or the use case ends. Authenticate agents to each other and sign the messages they exchange, so that one agent cannot pass as another. Give training jobs, pipelines and model-serving processes their own workload identities. An agent cannot provide a possession or inherence factor, so it cannot perform multi-factor authentication. Where a person would need MFA for the same access, give the agent a device-bound credential, preferably cryptographic (for example a device-specific certificate over mutual TLS), limited in time and never reusable by another system or person, and never use the agent to get around an MFA requirement.</t>
        </is>
      </c>
      <c r="H19" s="6" t="inlineStr">
        <is>
          <t>Identity registry; sponsor records; recertification results; orphaned identity report.</t>
        </is>
      </c>
      <c r="I19" s="6" t="inlineStr">
        <is>
          <t>Sample agent identities and confirm each has a sponsor and a current recertification. Remove a test sponsor and confirm the agent identity is flagged.</t>
        </is>
      </c>
      <c r="J19" s="6" t="inlineStr">
        <is>
          <t>IAM Team</t>
        </is>
      </c>
      <c r="K19" s="6" t="inlineStr">
        <is>
          <t>Semi-annually</t>
        </is>
      </c>
      <c r="L19" s="6" t="inlineStr">
        <is>
          <t>AI-R07, AI-R22, AI-R25</t>
        </is>
      </c>
      <c r="M19" s="6" t="inlineStr">
        <is>
          <t>LLM06:2025 Excessive Agency; ASI03 Identity &amp; Privilege Abuse; ASI07 Insecure Inter-Agent Communication</t>
        </is>
      </c>
      <c r="N19" s="6" t="inlineStr">
        <is>
          <t>AML.T0012 Valid Accounts; AML.T0073 Impersonation; AML.T0091 Use Alternate Authentication Material</t>
        </is>
      </c>
      <c r="O19" s="6" t="inlineStr">
        <is>
          <t>AML.M0019 Control Access to AI Models and Data in Production</t>
        </is>
      </c>
      <c r="P19" s="6" t="inlineStr">
        <is>
          <t>MEASURE 2.7; MEASURE 2.8</t>
        </is>
      </c>
      <c r="Q19" s="6" t="inlineStr">
        <is>
          <t>None published in ISO/IEC 42001. The wiki's own identifier applies: AI-CTRL-015.</t>
        </is>
      </c>
      <c r="R19" s="6" t="inlineStr">
        <is>
          <t>A.5.16 Identity management; A.5.17 Authentication information; A.8.5 Secure authentication</t>
        </is>
      </c>
      <c r="S19" s="6" t="inlineStr">
        <is>
          <t>PR.AA Identity Management, Authentication, and Access Control</t>
        </is>
      </c>
      <c r="T19" s="6" t="inlineStr">
        <is>
          <t>CIS 5 Account Management; CIS 6 Access Control Management</t>
        </is>
      </c>
      <c r="U19" s="6" t="inlineStr">
        <is>
          <t>CC6.1 Logical access security; CC6.2 Registration and removal of access</t>
        </is>
      </c>
      <c r="V19" s="6" t="n">
        <v>45</v>
      </c>
    </row>
    <row r="20" ht="120" customHeight="1">
      <c r="A20" s="140" t="inlineStr">
        <is>
          <t>AI-CTRL-016</t>
        </is>
      </c>
      <c r="B20" s="140" t="inlineStr">
        <is>
          <t>Least Privilege and Scoped Credentials</t>
        </is>
      </c>
      <c r="C20" s="140" t="inlineStr">
        <is>
          <t>Identity and Access</t>
        </is>
      </c>
      <c r="D20" s="140" t="inlineStr">
        <is>
          <t>Baseline</t>
        </is>
      </c>
      <c r="E20" s="140" t="inlineStr">
        <is>
          <t>AI APIs / Custom AI Applications / Agents</t>
        </is>
      </c>
      <c r="F20" s="140" t="inlineStr">
        <is>
          <t>Limit what each AI workload and agent can reach to the minimum its task needs.</t>
        </is>
      </c>
      <c r="G20" s="140" t="inlineStr">
        <is>
          <t>Use short-lived credentials scoped per tool and resource. Act with the end user's rights where a user is present, not with a broad service account. Detect and correct permission drift. Keep secrets out of locations an agent can read, such as environment variables, configuration files and shell history; issue short-lived tokens scoped to one task at the moment of the call; and plant canary credentials to detect an agent searching for credentials it was never given. Apply the same limits to training jobs, pipelines and model-serving identities: scope them to the datasets and models the task names, and revoke them when the job ends.</t>
        </is>
      </c>
      <c r="H20" s="140" t="inlineStr">
        <is>
          <t>Permission maps; token scope configuration; access review records; drift reports.</t>
        </is>
      </c>
      <c r="I20" s="140" t="inlineStr">
        <is>
          <t>Have a test agent attempt a tool or resource outside its scope and confirm it is denied and logged. Confirm credentials expire as configured.</t>
        </is>
      </c>
      <c r="J20" s="140" t="inlineStr">
        <is>
          <t>IAM Team</t>
        </is>
      </c>
      <c r="K20" s="140" t="inlineStr">
        <is>
          <t>Quarterly</t>
        </is>
      </c>
      <c r="L20" s="140" t="inlineStr">
        <is>
          <t>AI-R06, AI-R07, AI-R08, AI-R22</t>
        </is>
      </c>
      <c r="M20" s="140" t="inlineStr">
        <is>
          <t>LLM06:2025 Excessive Agency; ASI03 Identity &amp; Privilege Abuse</t>
        </is>
      </c>
      <c r="N20" s="140" t="inlineStr">
        <is>
          <t>AML.T0012 Valid Accounts; AML.T0055 Unsecured Credentials; AML.T0083 Credentials from AI Agent Configuration; AML.T0098 AI Agent Tool Credential Harvesting</t>
        </is>
      </c>
      <c r="O20" s="140" t="inlineStr">
        <is>
          <t>AML.M0026 Privileged AI Agent Permissions Configuration; AML.M0027 Single-User AI Agent Permissions Configuration; AML.M0028 AI Agent Tools Permissions Configuration</t>
        </is>
      </c>
      <c r="P20" s="140" t="inlineStr">
        <is>
          <t>MEASURE 2.7; MANAGE 1.3</t>
        </is>
      </c>
      <c r="Q20" s="140" t="inlineStr">
        <is>
          <t>None published in ISO/IEC 42001. The wiki's own identifier applies: AI-CTRL-016.</t>
        </is>
      </c>
      <c r="R20" s="140" t="inlineStr">
        <is>
          <t>A.5.15 Access control; A.5.18 Access rights; A.8.2 Privileged access rights; A.8.3 Information access restriction</t>
        </is>
      </c>
      <c r="S20" s="140" t="inlineStr">
        <is>
          <t>PR.AA Identity Management, Authentication, and Access Control</t>
        </is>
      </c>
      <c r="T20" s="140" t="inlineStr">
        <is>
          <t>CIS 5 Account Management; CIS 6 Access Control Management</t>
        </is>
      </c>
      <c r="U20" s="140" t="inlineStr">
        <is>
          <t>CC6.1 Logical access security; CC6.3 Role-based access and least privilege</t>
        </is>
      </c>
      <c r="V20" s="140" t="n">
        <v>53</v>
      </c>
    </row>
    <row r="21" ht="120" customHeight="1">
      <c r="A21" s="6" t="inlineStr">
        <is>
          <t>AI-CTRL-017</t>
        </is>
      </c>
      <c r="B21" s="6" t="inlineStr">
        <is>
          <t>Data Protection in AI Pipelines</t>
        </is>
      </c>
      <c r="C21" s="6" t="inlineStr">
        <is>
          <t>Data and Retrieval</t>
        </is>
      </c>
      <c r="D21" s="6" t="inlineStr">
        <is>
          <t>Baseline</t>
        </is>
      </c>
      <c r="E21" s="6" t="inlineStr">
        <is>
          <t>AI APIs / Custom AI Applications / Agents</t>
        </is>
      </c>
      <c r="F21" s="6" t="inlineStr">
        <is>
          <t>Apply classification, minimization and isolation to data that AI systems ingest, process and produce.</t>
        </is>
      </c>
      <c r="G21" s="6" t="inlineStr">
        <is>
          <t>Carry data classification into AI pipelines. Minimize or mask sensitive fields before they reach a model. Keep tenants separate in indexes, caches, memory and logs, and record data lineage. Never give a model or agent cleartext high-impact secrets (cryptographic keys, key components, passwords) or ask it to generate them or the random values behind them; route cryptography through a key service or HSM interface that exposes only the keys and functions the task needs. Judge the data an AI system can reach by what it could obtain, not what it is meant to use: tokens or encrypted data plus a reachable detokenisation, decryption or access-management path count as cleartext. Show in the data flow diagrams the data stores AI operation creates (prompt and response logs, transcripts, caches, retrieved context, tool results, agent scratchpads, orchestration state) and mask sensitive values before they are written.</t>
        </is>
      </c>
      <c r="H21" s="6" t="inlineStr">
        <is>
          <t>Data flow diagrams; classification and masking rules; tenant isolation tests; lineage records.</t>
        </is>
      </c>
      <c r="I21" s="6" t="inlineStr">
        <is>
          <t>Send labelled sensitive records through the pipeline and confirm masking at each stage. Attempt to read another tenant's data through the AI interface.</t>
        </is>
      </c>
      <c r="J21" s="6" t="inlineStr">
        <is>
          <t>Data Owner / Security Engineering</t>
        </is>
      </c>
      <c r="K21" s="6" t="inlineStr">
        <is>
          <t>Semi-annually</t>
        </is>
      </c>
      <c r="L21" s="6" t="inlineStr">
        <is>
          <t>AI-R01, AI-R03, AI-R06, AI-R17</t>
        </is>
      </c>
      <c r="M21" s="6" t="inlineStr">
        <is>
          <t>LLM02:2025 Sensitive Information Disclosure</t>
        </is>
      </c>
      <c r="N21" s="6" t="inlineStr">
        <is>
          <t>AML.T0057 LLM Data Leakage; AML.T0085 Data from AI Services; AML.T0025 Exfiltration via Cyber Means</t>
        </is>
      </c>
      <c r="O21" s="6" t="inlineStr">
        <is>
          <t>AML.M0012 Encrypt Sensitive Information; AML.M0005 Control Access to AI Models and Data at Rest</t>
        </is>
      </c>
      <c r="P21" s="6" t="inlineStr">
        <is>
          <t>MEASURE 2.10; MEASURE 2.7</t>
        </is>
      </c>
      <c r="Q21" s="6" t="inlineStr">
        <is>
          <t>A.4.3 Data resources; A.7.6 Data preparation</t>
        </is>
      </c>
      <c r="R21" s="6" t="inlineStr">
        <is>
          <t>A.5.12 Classification of information; A.5.13 Labelling of information; A.8.10 Information deletion; A.8.11 Data masking; A.8.12 Data leakage prevention; A.8.24 Use of cryptography; A.8.33 Test information</t>
        </is>
      </c>
      <c r="S21" s="6" t="inlineStr">
        <is>
          <t>ID.AM Asset Management; PR.DS Data Security</t>
        </is>
      </c>
      <c r="T21" s="6" t="inlineStr">
        <is>
          <t>CIS 3 Data Protection</t>
        </is>
      </c>
      <c r="U21" s="6" t="inlineStr">
        <is>
          <t>CC6.1 Logical access security; CC6.7 Transmission, movement and removal of information; C1.1 Identification of confidential information; C1.2 Disposal of confidential information</t>
        </is>
      </c>
      <c r="V21" s="6" t="n">
        <v>39</v>
      </c>
    </row>
    <row r="22" ht="120" customHeight="1">
      <c r="A22" s="140" t="inlineStr">
        <is>
          <t>AI-CTRL-018</t>
        </is>
      </c>
      <c r="B22" s="140" t="inlineStr">
        <is>
          <t>Retrieval Access Control</t>
        </is>
      </c>
      <c r="C22" s="140" t="inlineStr">
        <is>
          <t>Data and Retrieval</t>
        </is>
      </c>
      <c r="D22" s="140" t="inlineStr">
        <is>
          <t>Baseline</t>
        </is>
      </c>
      <c r="E22" s="140" t="inlineStr">
        <is>
          <t>Custom AI Applications / Agents</t>
        </is>
      </c>
      <c r="F22" s="140" t="inlineStr">
        <is>
          <t>Return only content the requesting user is entitled to see.</t>
        </is>
      </c>
      <c r="G22" s="140" t="inlineStr">
        <is>
          <t>Enforce document-level permissions at query time using the end user's identity. Propagate permission changes to the index promptly. Do not rely on the model to withhold content. Return citations that users can check.</t>
        </is>
      </c>
      <c r="H22" s="140" t="inlineStr">
        <is>
          <t>Permission test results; retrieval logs with source documents; propagation timing.</t>
        </is>
      </c>
      <c r="I22" s="140" t="inlineStr">
        <is>
          <t>Query as users with different entitlements and confirm restricted documents are never retrieved. Revoke access to a document and measure how long it remains retrievable.</t>
        </is>
      </c>
      <c r="J22" s="140" t="inlineStr">
        <is>
          <t>Application Owner</t>
        </is>
      </c>
      <c r="K22" s="140" t="inlineStr">
        <is>
          <t>Quarterly</t>
        </is>
      </c>
      <c r="L22" s="140" t="inlineStr">
        <is>
          <t>AI-R06</t>
        </is>
      </c>
      <c r="M22" s="140" t="inlineStr">
        <is>
          <t>LLM08:2025 Vector and Embedding Weaknesses; LLM02:2025 Sensitive Information Disclosure</t>
        </is>
      </c>
      <c r="N22" s="140" t="inlineStr">
        <is>
          <t>AML.T0057 LLM Data Leakage; AML.T0085 Data from AI Services; AML.T0064 Gather RAG-Indexed Targets; AML.T0082 RAG Credential Harvesting</t>
        </is>
      </c>
      <c r="O22" s="140" t="inlineStr">
        <is>
          <t>AML.M0027 Single-User AI Agent Permissions Configuration; AML.M0019 Control Access to AI Models and Data in Production</t>
        </is>
      </c>
      <c r="P22" s="140" t="inlineStr">
        <is>
          <t>MEASURE 2.10; MEASURE 2.7</t>
        </is>
      </c>
      <c r="Q22" s="140" t="inlineStr">
        <is>
          <t>None published in ISO/IEC 42001. The wiki's own identifier applies: AI-CTRL-018.</t>
        </is>
      </c>
      <c r="R22" s="140" t="inlineStr">
        <is>
          <t>A.5.15 Access control; A.8.3 Information access restriction</t>
        </is>
      </c>
      <c r="S22" s="140" t="inlineStr">
        <is>
          <t>PR.AA Identity Management, Authentication, and Access Control; PR.DS Data Security</t>
        </is>
      </c>
      <c r="T22" s="140" t="inlineStr">
        <is>
          <t>CIS 3 Data Protection; CIS 6 Access Control Management</t>
        </is>
      </c>
      <c r="U22" s="140" t="inlineStr">
        <is>
          <t>CC6.1 Logical access security; CC6.3 Role-based access and least privilege</t>
        </is>
      </c>
      <c r="V22" s="140" t="n">
        <v>10</v>
      </c>
    </row>
    <row r="23" ht="120" customHeight="1">
      <c r="A23" s="6" t="inlineStr">
        <is>
          <t>AI-CTRL-019</t>
        </is>
      </c>
      <c r="B23" s="6" t="inlineStr">
        <is>
          <t>Knowledge Base Integrity</t>
        </is>
      </c>
      <c r="C23" s="6" t="inlineStr">
        <is>
          <t>Data and Retrieval</t>
        </is>
      </c>
      <c r="D23" s="6" t="inlineStr">
        <is>
          <t>Advanced</t>
        </is>
      </c>
      <c r="E23" s="6" t="inlineStr">
        <is>
          <t>Custom AI Applications / Agents</t>
        </is>
      </c>
      <c r="F23" s="6" t="inlineStr">
        <is>
          <t>Stop untrusted or poisoned content from entering the corpus that AI systems retrieve from.</t>
        </is>
      </c>
      <c r="G23" s="6" t="inlineStr">
        <is>
          <t>Control who and what can write to the corpus. Record the source of every indexed item. Scan ingested content for embedded instructions, and keep the ability to find and remove items by source. Record an owner and a freshness limit for each source, and monitor retrieval quality for drift so that superseded or degraded content is found and removed. Measure the corpus against data quality thresholds for currentness, credibility of source and duplication, so that stale or low-quality content is treated as a defect and not only tampering.</t>
        </is>
      </c>
      <c r="H23" s="6" t="inlineStr">
        <is>
          <t>Ingestion access list; provenance records; ingestion scan results; removal test.</t>
        </is>
      </c>
      <c r="I23" s="6" t="inlineStr">
        <is>
          <t>Add a document with a planted instruction and a false fact through each ingestion path. Confirm it is detected or neutralized, and that it can be traced and removed.</t>
        </is>
      </c>
      <c r="J23" s="6" t="inlineStr">
        <is>
          <t>Application Owner</t>
        </is>
      </c>
      <c r="K23" s="6" t="inlineStr">
        <is>
          <t>Quarterly</t>
        </is>
      </c>
      <c r="L23" s="6" t="inlineStr">
        <is>
          <t>AI-R05, AI-R08, AI-R17</t>
        </is>
      </c>
      <c r="M23" s="6" t="inlineStr">
        <is>
          <t>LLM04:2025 Data and Model Poisoning; LLM08:2025 Vector and Embedding Weaknesses</t>
        </is>
      </c>
      <c r="N23" s="6" t="inlineStr">
        <is>
          <t>AML.T0070 RAG Poisoning; AML.T0071 False RAG Entry Injection; AML.T0066 Retrieval Content Crafting</t>
        </is>
      </c>
      <c r="O23" s="6" t="inlineStr">
        <is>
          <t>AML.M0025 Maintain AI Dataset Provenance</t>
        </is>
      </c>
      <c r="P23" s="6" t="inlineStr">
        <is>
          <t>MEASURE 2.7; MAP 2.3</t>
        </is>
      </c>
      <c r="Q23" s="6" t="inlineStr">
        <is>
          <t>A.7.3 Acquisition of data; A.7.4 Quality of data for AI systems; A.7.5 Data provenance</t>
        </is>
      </c>
      <c r="R23" s="6" t="inlineStr">
        <is>
          <t>A.8.32 Change management</t>
        </is>
      </c>
      <c r="S23" s="6" t="inlineStr">
        <is>
          <t>PR.DS Data Security</t>
        </is>
      </c>
      <c r="T23" s="6" t="inlineStr">
        <is>
          <t>None published in the CIS Controls. The wiki's own identifier applies: AI-CTRL-019.</t>
        </is>
      </c>
      <c r="U23" s="6" t="inlineStr">
        <is>
          <t>PI1.2 Inputs; CC8.1 Change management</t>
        </is>
      </c>
      <c r="V23" s="6" t="n">
        <v>15</v>
      </c>
    </row>
    <row r="24" ht="120" customHeight="1">
      <c r="A24" s="140" t="inlineStr">
        <is>
          <t>AI-CTRL-020</t>
        </is>
      </c>
      <c r="B24" s="140" t="inlineStr">
        <is>
          <t>Output Handling</t>
        </is>
      </c>
      <c r="C24" s="140" t="inlineStr">
        <is>
          <t>Application Runtime</t>
        </is>
      </c>
      <c r="D24" s="140" t="inlineStr">
        <is>
          <t>Baseline</t>
        </is>
      </c>
      <c r="E24" s="140" t="inlineStr">
        <is>
          <t>Custom AI Applications / AI APIs / Agents</t>
        </is>
      </c>
      <c r="F24" s="140" t="inlineStr">
        <is>
          <t>Treat model output as untrusted input to whatever consumes it.</t>
        </is>
      </c>
      <c r="G24" s="140" t="inlineStr">
        <is>
          <t>Validate and encode output before it is rendered, executed or passed to another system. Restrict what output can trigger, such as links, images and calls. Inspect responses for sensitive data. Treat reasoning traces, intermediate tool output and system instructions as sensitive content. Decide whether each is shown to users or written to logs, apply the same classification as the final output, and test for leakage.</t>
        </is>
      </c>
      <c r="H24" s="140" t="inlineStr">
        <is>
          <t>Output validation rules; response inspection logs; injection test results.</t>
        </is>
      </c>
      <c r="I24" s="140" t="inlineStr">
        <is>
          <t>Induce the model to emit script, markup and command payloads and confirm none executes downstream. Confirm sensitive data in a response is detected.</t>
        </is>
      </c>
      <c r="J24" s="140" t="inlineStr">
        <is>
          <t>AppSec</t>
        </is>
      </c>
      <c r="K24" s="140" t="inlineStr">
        <is>
          <t>Before each release and quarterly</t>
        </is>
      </c>
      <c r="L24" s="140" t="inlineStr">
        <is>
          <t>AI-R05, AI-R06, AI-R24, AI-R26</t>
        </is>
      </c>
      <c r="M24" s="140" t="inlineStr">
        <is>
          <t>LLM05:2025 Improper Output Handling; LLM02:2025 Sensitive Information Disclosure</t>
        </is>
      </c>
      <c r="N24" s="140" t="inlineStr">
        <is>
          <t>AML.T0077 LLM Response Rendering; AML.T0067 LLM Trusted Output Components Manipulation; AML.T0057 LLM Data Leakage</t>
        </is>
      </c>
      <c r="O24" s="140" t="inlineStr">
        <is>
          <t>AML.M0033 Input and Output Validation for AI Agent Components; AML.M0020 Generative AI Guardrails</t>
        </is>
      </c>
      <c r="P24" s="140" t="inlineStr">
        <is>
          <t>MEASURE 2.7; MEASURE 2.10</t>
        </is>
      </c>
      <c r="Q24" s="140" t="inlineStr">
        <is>
          <t>A.6.2.4 AI system verification and validation; A.6.2.6 AI system operation and monitoring</t>
        </is>
      </c>
      <c r="R24" s="140" t="inlineStr">
        <is>
          <t>A.8.26 Application security requirements; A.8.28 Secure coding</t>
        </is>
      </c>
      <c r="S24" s="140" t="inlineStr">
        <is>
          <t>PR.PS Platform Security</t>
        </is>
      </c>
      <c r="T24" s="140" t="inlineStr">
        <is>
          <t>CIS 16 Application Software Security</t>
        </is>
      </c>
      <c r="U24" s="140" t="inlineStr">
        <is>
          <t>PI1.4 Outputs</t>
        </is>
      </c>
      <c r="V24" s="140" t="n">
        <v>14</v>
      </c>
    </row>
    <row r="25" ht="120" customHeight="1">
      <c r="A25" s="6" t="inlineStr">
        <is>
          <t>AI-CTRL-021</t>
        </is>
      </c>
      <c r="B25" s="6" t="inlineStr">
        <is>
          <t>Multimodal and Voice Input Security</t>
        </is>
      </c>
      <c r="C25" s="6" t="inlineStr">
        <is>
          <t>Application Runtime</t>
        </is>
      </c>
      <c r="D25" s="6" t="inlineStr">
        <is>
          <t>Advanced</t>
        </is>
      </c>
      <c r="E25" s="6" t="inlineStr">
        <is>
          <t>Browser AI / Custom AI Applications / Agents</t>
        </is>
      </c>
      <c r="F25" s="6" t="inlineStr">
        <is>
          <t>Apply the same inspection and policy to images, documents, audio and video as to text.</t>
        </is>
      </c>
      <c r="G25" s="6" t="inlineStr">
        <is>
          <t>Inspect non-text inputs for sensitive content and hidden instructions. Do not treat voice as proof of identity for sensitive actions. Govern recordings and transcripts under the retention policy.</t>
        </is>
      </c>
      <c r="H25" s="6" t="inlineStr">
        <is>
          <t>Modality coverage matrix; detection results by modality; recording retention configuration.</t>
        </is>
      </c>
      <c r="I25" s="6" t="inlineStr">
        <is>
          <t>Submit images, documents and audio carrying sensitive data and hidden instructions. Compare detection with the text-channel result for the same content.</t>
        </is>
      </c>
      <c r="J25" s="6" t="inlineStr">
        <is>
          <t>AI Security Team</t>
        </is>
      </c>
      <c r="K25" s="6" t="inlineStr">
        <is>
          <t>Semi-annually</t>
        </is>
      </c>
      <c r="L25" s="6" t="inlineStr">
        <is>
          <t>AI-R03, AI-R05</t>
        </is>
      </c>
      <c r="M25" s="6" t="inlineStr">
        <is>
          <t>LLM01:2025 Prompt Injection; LLM02:2025 Sensitive Information Disclosure</t>
        </is>
      </c>
      <c r="N25" s="6" t="inlineStr">
        <is>
          <t>AML.T0129 Triggers in Multimodal Inputs; AML.T0051 LLM Prompt Injection; AML.T0088 Generate Deepfakes</t>
        </is>
      </c>
      <c r="O25" s="6" t="inlineStr">
        <is>
          <t>AML.M0034 Deepfake Detection; AML.M0020 Generative AI Guardrails</t>
        </is>
      </c>
      <c r="P25" s="6" t="inlineStr">
        <is>
          <t>MEASURE 2.7; MEASURE 2.10</t>
        </is>
      </c>
      <c r="Q25" s="6" t="inlineStr">
        <is>
          <t>A.6.2.4 AI system verification and validation</t>
        </is>
      </c>
      <c r="R25" s="6" t="inlineStr">
        <is>
          <t>A.8.7 Protection against malware; A.8.12 Data leakage prevention; A.8.26 Application security requirements</t>
        </is>
      </c>
      <c r="S25" s="6" t="inlineStr">
        <is>
          <t>PR.DS Data Security; DE.CM Continuous Monitoring</t>
        </is>
      </c>
      <c r="T25" s="6" t="inlineStr">
        <is>
          <t>CIS 3 Data Protection; CIS 10 Malware Defenses</t>
        </is>
      </c>
      <c r="U25" s="6" t="inlineStr">
        <is>
          <t>CC6.7 Transmission, movement and removal of information; CC6.8 Unauthorized or malicious software</t>
        </is>
      </c>
      <c r="V25" s="6" t="n">
        <v>28</v>
      </c>
    </row>
    <row r="26" ht="120" customHeight="1">
      <c r="A26" s="140" t="inlineStr">
        <is>
          <t>AI-CTRL-022</t>
        </is>
      </c>
      <c r="B26" s="140" t="inlineStr">
        <is>
          <t>Deterministic Action Authorization</t>
        </is>
      </c>
      <c r="C26" s="140" t="inlineStr">
        <is>
          <t>Agents and Tools</t>
        </is>
      </c>
      <c r="D26" s="140" t="inlineStr">
        <is>
          <t>Baseline</t>
        </is>
      </c>
      <c r="E26" s="140" t="inlineStr">
        <is>
          <t>Agents / Custom AI Applications</t>
        </is>
      </c>
      <c r="F26" s="140" t="inlineStr">
        <is>
          <t>Enforce authority to act, access data or spend money outside the model.</t>
        </is>
      </c>
      <c r="G26" s="140" t="inlineStr">
        <is>
          <t>Place a policy enforcement point between the model and every tool. It authorizes each call with deterministic rules using the real parameters, the acting identity and the end user's rights. Model output is advice, never authority.</t>
        </is>
      </c>
      <c r="H26" s="140" t="inlineStr">
        <is>
          <t>Policy rules; allow and deny logs; architecture review record.</t>
        </is>
      </c>
      <c r="I26" s="140" t="inlineStr">
        <is>
          <t>Instruct a test agent, through injected content, to make a call the policy forbids. Confirm the enforcement point denies it regardless of what the model outputs.</t>
        </is>
      </c>
      <c r="J26" s="140" t="inlineStr">
        <is>
          <t>Security Architecture</t>
        </is>
      </c>
      <c r="K26" s="140" t="inlineStr">
        <is>
          <t>Semi-annually</t>
        </is>
      </c>
      <c r="L26" s="140" t="inlineStr">
        <is>
          <t>AI-R07, AI-R24</t>
        </is>
      </c>
      <c r="M26" s="140" t="inlineStr">
        <is>
          <t>LLM06:2025 Excessive Agency; ASI02 Tool Misuse &amp; Exploitation</t>
        </is>
      </c>
      <c r="N26" s="140" t="inlineStr">
        <is>
          <t>AML.T0053 AI Agent Tool Invocation; AML.T0086 Exfiltration via AI Agent Tool Invocation; AML.T0101 Data Destruction via AI Agent Tool Invocation</t>
        </is>
      </c>
      <c r="O26" s="140" t="inlineStr">
        <is>
          <t>AML.M0028 AI Agent Tools Permissions Configuration; AML.M0030 Restrict AI Agent Tool Invocation on Untrusted Data; AML.M0033 Input and Output Validation for AI Agent Components</t>
        </is>
      </c>
      <c r="P26" s="140" t="inlineStr">
        <is>
          <t>MEASURE 2.7; MANAGE 1.3</t>
        </is>
      </c>
      <c r="Q26" s="140" t="inlineStr">
        <is>
          <t>A.6.2.2 AI system requirements and specification</t>
        </is>
      </c>
      <c r="R26" s="140" t="inlineStr">
        <is>
          <t>A.5.3 Segregation of duties; A.5.15 Access control; A.8.3 Information access restriction</t>
        </is>
      </c>
      <c r="S26" s="140" t="inlineStr">
        <is>
          <t>PR.AA Identity Management, Authentication, and Access Control</t>
        </is>
      </c>
      <c r="T26" s="140" t="inlineStr">
        <is>
          <t>CIS 6 Access Control Management</t>
        </is>
      </c>
      <c r="U26" s="140" t="inlineStr">
        <is>
          <t>CC6.1 Logical access security; CC6.3 Role-based access and least privilege</t>
        </is>
      </c>
      <c r="V26" s="140" t="n">
        <v>19</v>
      </c>
    </row>
    <row r="27" ht="120" customHeight="1">
      <c r="A27" s="6" t="inlineStr">
        <is>
          <t>AI-CTRL-023</t>
        </is>
      </c>
      <c r="B27" s="6" t="inlineStr">
        <is>
          <t>Human Approval for Sensitive Actions</t>
        </is>
      </c>
      <c r="C27" s="6" t="inlineStr">
        <is>
          <t>Agents and Tools</t>
        </is>
      </c>
      <c r="D27" s="6" t="inlineStr">
        <is>
          <t>Baseline</t>
        </is>
      </c>
      <c r="E27" s="6" t="inlineStr">
        <is>
          <t>Agents</t>
        </is>
      </c>
      <c r="F27" s="6" t="inlineStr">
        <is>
          <t>Require a person to approve irreversible or high-impact actions before they run.</t>
        </is>
      </c>
      <c r="G27" s="6" t="inlineStr">
        <is>
          <t>Define which actions need approval. Show the approver the real parameters and the consequence, not a model-written summary. Record the decision, and guard against approval fatigue by keeping the set of gated actions small.</t>
        </is>
      </c>
      <c r="H27" s="6" t="inlineStr">
        <is>
          <t>List of gated actions; approval logs with parameters shown; rejection samples.</t>
        </is>
      </c>
      <c r="I27" s="6" t="inlineStr">
        <is>
          <t>Trigger a gated action and confirm it does not run without approval. Confirm the approver sees the real parameters and that the decision is logged.</t>
        </is>
      </c>
      <c r="J27" s="6" t="inlineStr">
        <is>
          <t>Application Owner</t>
        </is>
      </c>
      <c r="K27" s="6" t="inlineStr">
        <is>
          <t>Semi-annually</t>
        </is>
      </c>
      <c r="L27" s="6" t="inlineStr">
        <is>
          <t>AI-R07, AI-R19</t>
        </is>
      </c>
      <c r="M27" s="6" t="inlineStr">
        <is>
          <t>LLM06:2025 Excessive Agency; ASI09 Human-Agent Trust Exploitation</t>
        </is>
      </c>
      <c r="N27" s="6" t="inlineStr">
        <is>
          <t>AML.T0053 AI Agent Tool Invocation; AML.T0101 Data Destruction via AI Agent Tool Invocation</t>
        </is>
      </c>
      <c r="O27" s="6" t="inlineStr">
        <is>
          <t>AML.M0029 Human In-the-Loop for AI Agent Actions</t>
        </is>
      </c>
      <c r="P27" s="6" t="inlineStr">
        <is>
          <t>MAP 3.5; GOVERN 3.2</t>
        </is>
      </c>
      <c r="Q27" s="6" t="inlineStr">
        <is>
          <t>A.9.2 Processes for responsible use of AI systems; A.9.3 Objectives for responsible use of AI system</t>
        </is>
      </c>
      <c r="R27" s="6" t="inlineStr">
        <is>
          <t>A.5.3 Segregation of duties</t>
        </is>
      </c>
      <c r="S27" s="6" t="inlineStr">
        <is>
          <t>PR.AA Identity Management, Authentication, and Access Control</t>
        </is>
      </c>
      <c r="T27" s="6" t="inlineStr">
        <is>
          <t>None published in the CIS Controls. The wiki's own identifier applies: AI-CTRL-023.</t>
        </is>
      </c>
      <c r="U27" s="6" t="inlineStr">
        <is>
          <t>None published in the SOC 2 criteria. The wiki's own identifier applies: AI-CTRL-023.</t>
        </is>
      </c>
      <c r="V27" s="6" t="n">
        <v>8</v>
      </c>
    </row>
    <row r="28" ht="120" customHeight="1">
      <c r="A28" s="140" t="inlineStr">
        <is>
          <t>AI-CTRL-024</t>
        </is>
      </c>
      <c r="B28" s="140" t="inlineStr">
        <is>
          <t>Tool and MCP Server Governance</t>
        </is>
      </c>
      <c r="C28" s="140" t="inlineStr">
        <is>
          <t>Agents and Tools</t>
        </is>
      </c>
      <c r="D28" s="140" t="inlineStr">
        <is>
          <t>Baseline</t>
        </is>
      </c>
      <c r="E28" s="140" t="inlineStr">
        <is>
          <t>Agents / IDE AI</t>
        </is>
      </c>
      <c r="F28" s="140" t="inlineStr">
        <is>
          <t>Allow agents to use only vetted tools and tool servers, and detect when they change.</t>
        </is>
      </c>
      <c r="G28" s="140" t="inlineStr">
        <is>
          <t>Keep an allow-list of tools, plugins and MCP servers with an owner for each. Validate tool schemas, pin versions, and re-approve when a tool definition changes after approval. The same governance applies to agent skills and plugins: approve them from an allowlist after review, pin the version, check integrity on load and keep a procedure to remove one quickly. Treat tools that can override system or application controls, such as shells, database consoles and administration APIs, as privileged utilities: give them only to named agents that need them, and log every use.</t>
        </is>
      </c>
      <c r="H28" s="140" t="inlineStr">
        <is>
          <t>Tool and MCP server registry; allow-list configuration; change detection alerts.</t>
        </is>
      </c>
      <c r="I28" s="140" t="inlineStr">
        <is>
          <t>Connect an unlisted tool server and confirm it is blocked. Change the description of an approved tool and confirm the change is detected before use.</t>
        </is>
      </c>
      <c r="J28" s="140" t="inlineStr">
        <is>
          <t>AI Platform Team</t>
        </is>
      </c>
      <c r="K28" s="140" t="inlineStr">
        <is>
          <t>Quarterly</t>
        </is>
      </c>
      <c r="L28" s="140" t="inlineStr">
        <is>
          <t>AI-R07, AI-R08, AI-R23, AI-R24</t>
        </is>
      </c>
      <c r="M28" s="140" t="inlineStr">
        <is>
          <t>LLM03:2025 Supply Chain; ASI04 Agentic Supply Chain Vulnerabilities; ASI02 Tool Misuse &amp; Exploitation</t>
        </is>
      </c>
      <c r="N28" s="140" t="inlineStr">
        <is>
          <t>AML.T0110 AI Agent Tool Poisoning; AML.T0109 AI Supply Chain Rug Pull; AML.T0099 AI Agent Tool Data Poisoning; AML.T0010 AI Supply Chain Compromise</t>
        </is>
      </c>
      <c r="O28" s="140" t="inlineStr">
        <is>
          <t>AML.M0028 AI Agent Tools Permissions Configuration; AML.M0014 Verify AI Artifacts</t>
        </is>
      </c>
      <c r="P28" s="140" t="inlineStr">
        <is>
          <t>GOVERN 6.1; MAP 4.1; MAP 4.2; MANAGE 3.1</t>
        </is>
      </c>
      <c r="Q28" s="140" t="inlineStr">
        <is>
          <t>A.10.3 Suppliers; A.4.4 Tooling resources</t>
        </is>
      </c>
      <c r="R28" s="140" t="inlineStr">
        <is>
          <t>A.5.19 Information security in supplier relationships; A.5.21 Managing information security in the ICT supply chain; A.8.9 Configuration management; A.8.19 Installation of software on operational systems; A.8.32 Change management; A.8.18 Use of privileged utility programs</t>
        </is>
      </c>
      <c r="S28" s="140" t="inlineStr">
        <is>
          <t>GV.SC Cybersecurity Supply Chain Risk Management; PR.PS Platform Security</t>
        </is>
      </c>
      <c r="T28" s="140" t="inlineStr">
        <is>
          <t>CIS 2 Inventory and Control of Software Assets; CIS 15 Service Provider Management; CIS 16 Application Software Security</t>
        </is>
      </c>
      <c r="U28" s="140" t="inlineStr">
        <is>
          <t>CC6.8 Unauthorized or malicious software; CC8.1 Change management; CC9.2 Vendor and business partner risk</t>
        </is>
      </c>
      <c r="V28" s="140" t="n">
        <v>16</v>
      </c>
    </row>
    <row r="29" ht="120" customHeight="1">
      <c r="A29" s="6" t="inlineStr">
        <is>
          <t>AI-CTRL-025</t>
        </is>
      </c>
      <c r="B29" s="6" t="inlineStr">
        <is>
          <t>AI Containment and Kill Switch</t>
        </is>
      </c>
      <c r="C29" s="6" t="inlineStr">
        <is>
          <t>Agents and Tools</t>
        </is>
      </c>
      <c r="D29" s="6" t="inlineStr">
        <is>
          <t>Baseline</t>
        </is>
      </c>
      <c r="E29" s="6" t="inlineStr">
        <is>
          <t>Agents / Custom AI Applications / AI APIs / Vendors</t>
        </is>
      </c>
      <c r="F29" s="6" t="inlineStr">
        <is>
          <t>Stop an agent or suspend a high-risk AI model, revoke its access and limit the damage within minutes, with a tested fallback.</t>
        </is>
      </c>
      <c r="G29" s="6" t="inlineStr">
        <is>
          <t>Provide a tested way to stop a single agent and to revoke credentials for all agents. Set limits on steps, time and spend per task. Know which actions can be rolled back and how. For every AI use case rated high risk or material, including models that are not agents (for example credit, fraud or pricing models) and third-party AI, name who may suspend it, set the triggers (risk tolerance breached, incident, regulator request), route decisions to a fallback or manual process while it is off, require re-approval before restart, and test activation at least once a year. Where a vendor runs the model, secure the right to have it suspended in the contract. Keep the log of every action the AI system took through containment and rollback; nothing the stop or the reversal does may remove it. Where an agent can reach cleartext payment card data, shut it down automatically (fail secure) on unusual activity such as an attempt to reach a system outside its scope.</t>
        </is>
      </c>
      <c r="H29" s="6" t="inlineStr">
        <is>
          <t>Kill switch procedure; register of kill switches for high-risk use cases with owners, triggers and fallbacks; test records with timings; task limits configuration.</t>
        </is>
      </c>
      <c r="I29" s="6" t="inlineStr">
        <is>
          <t>Start a long-running test agent and stop it. Measure the time until no further actions occur and credentials are invalid. Sample high-risk use cases and confirm each has a kill switch, a fallback and a test within the last year; suspend one model in the lab and confirm decisions route to the fallback.</t>
        </is>
      </c>
      <c r="J29" s="6" t="inlineStr">
        <is>
          <t>AI Platform Team / SOC</t>
        </is>
      </c>
      <c r="K29" s="6" t="inlineStr">
        <is>
          <t>Semi-annually</t>
        </is>
      </c>
      <c r="L29" s="6" t="inlineStr">
        <is>
          <t>AI-R07, AI-R11, AI-R21, AI-R25, AI-R55</t>
        </is>
      </c>
      <c r="M29" s="6" t="inlineStr">
        <is>
          <t>LLM06:2025 Excessive Agency; ASI08 Cascading Failures; ASI10 Rogue Agents</t>
        </is>
      </c>
      <c r="N29" s="6" t="inlineStr">
        <is>
          <t>AML.T0053 AI Agent Tool Invocation; AML.T0034 Cost Harvesting</t>
        </is>
      </c>
      <c r="O29" s="6" t="inlineStr">
        <is>
          <t>AML.M0037 AI Agent Authority Expansion Controls; AML.M0036 Limit AI Workload Resource Consumption</t>
        </is>
      </c>
      <c r="P29" s="6" t="inlineStr">
        <is>
          <t>MANAGE 2.4; MANAGE 2.3</t>
        </is>
      </c>
      <c r="Q29" s="6" t="inlineStr">
        <is>
          <t>A.6.2.6 AI system operation and monitoring</t>
        </is>
      </c>
      <c r="R29" s="6" t="inlineStr">
        <is>
          <t>A.5.18 Access rights; A.5.26 Response to information security incidents</t>
        </is>
      </c>
      <c r="S29" s="6" t="inlineStr">
        <is>
          <t>RS.MA Incident Management; RS.MI Incident Mitigation</t>
        </is>
      </c>
      <c r="T29" s="6" t="inlineStr">
        <is>
          <t>CIS 6 Access Control Management; CIS 17 Incident Response Management</t>
        </is>
      </c>
      <c r="U29" s="6" t="inlineStr">
        <is>
          <t>CC6.2 Registration and removal of access; CC7.4 Incident response</t>
        </is>
      </c>
      <c r="V29" s="6" t="n">
        <v>13</v>
      </c>
    </row>
    <row r="30" ht="120" customHeight="1">
      <c r="A30" s="140" t="inlineStr">
        <is>
          <t>AI-CTRL-026</t>
        </is>
      </c>
      <c r="B30" s="140" t="inlineStr">
        <is>
          <t>Agent Memory and Context Integrity</t>
        </is>
      </c>
      <c r="C30" s="140" t="inlineStr">
        <is>
          <t>Agents and Tools</t>
        </is>
      </c>
      <c r="D30" s="140" t="inlineStr">
        <is>
          <t>Advanced</t>
        </is>
      </c>
      <c r="E30" s="140" t="inlineStr">
        <is>
          <t>Agents / Custom AI Applications</t>
        </is>
      </c>
      <c r="F30" s="140" t="inlineStr">
        <is>
          <t>Prevent poisoned or cross-user content from persisting in agent memory and context.</t>
        </is>
      </c>
      <c r="G30" s="140" t="inlineStr">
        <is>
          <t>Separate memory by user and tenant. Record the source of each memory item, apply expiry, and provide a way to inspect and purge memory. Do not let untrusted content write to long-term memory unchecked. Keep an inventory of memory stores with a named owner for each. Write down what each assistant may and may not remember, and enforce it when memory is written. Let users see, correct and delete what is remembered about them, and include memory in data subject access and erasure requests.</t>
        </is>
      </c>
      <c r="H30" s="140" t="inlineStr">
        <is>
          <t>Memory isolation tests; memory provenance records; purge procedure and test; memory store inventory with owners; memory write policy and enforcement results; access and erasure request records that cover memory.</t>
        </is>
      </c>
      <c r="I30" s="140" t="inlineStr">
        <is>
          <t>Plant an instruction in memory through untrusted content and confirm it does not affect a later session. Confirm one user cannot read another's memory.</t>
        </is>
      </c>
      <c r="J30" s="140" t="inlineStr">
        <is>
          <t>Application Owner</t>
        </is>
      </c>
      <c r="K30" s="140" t="inlineStr">
        <is>
          <t>Semi-annually</t>
        </is>
      </c>
      <c r="L30" s="140" t="inlineStr">
        <is>
          <t>AI-R05, AI-R07, AI-R21</t>
        </is>
      </c>
      <c r="M30" s="140" t="inlineStr">
        <is>
          <t>LLM04:2025 Data and Model Poisoning; LLM01:2025 Prompt Injection; ASI06 Memory &amp; Context Poisoning</t>
        </is>
      </c>
      <c r="N30" s="140" t="inlineStr">
        <is>
          <t>AML.T0080 AI Agent Context Poisoning; AML.T0092 Manipulate User LLM Chat History; AML.T0094 Delay Execution of LLM Instructions</t>
        </is>
      </c>
      <c r="O30" s="140" t="inlineStr">
        <is>
          <t>AML.M0031 Memory Hardening</t>
        </is>
      </c>
      <c r="P30" s="140" t="inlineStr">
        <is>
          <t>MEASURE 2.7; MEASURE 2.10</t>
        </is>
      </c>
      <c r="Q30" s="140" t="inlineStr">
        <is>
          <t>A.6.2.6 AI system operation and monitoring</t>
        </is>
      </c>
      <c r="R30" s="140" t="inlineStr">
        <is>
          <t>A.8.3 Information access restriction</t>
        </is>
      </c>
      <c r="S30" s="140" t="inlineStr">
        <is>
          <t>PR.DS Data Security</t>
        </is>
      </c>
      <c r="T30" s="140" t="inlineStr">
        <is>
          <t>CIS 3 Data Protection</t>
        </is>
      </c>
      <c r="U30" s="140" t="inlineStr">
        <is>
          <t>CC6.1 Logical access security; PI1.5 Stored items</t>
        </is>
      </c>
      <c r="V30" s="140" t="n">
        <v>9</v>
      </c>
    </row>
    <row r="31" ht="120" customHeight="1">
      <c r="A31" s="6" t="inlineStr">
        <is>
          <t>AI-CTRL-027</t>
        </is>
      </c>
      <c r="B31" s="6" t="inlineStr">
        <is>
          <t>Agent Execution Isolation</t>
        </is>
      </c>
      <c r="C31" s="6" t="inlineStr">
        <is>
          <t>Agents and Tools</t>
        </is>
      </c>
      <c r="D31" s="6" t="inlineStr">
        <is>
          <t>Baseline</t>
        </is>
      </c>
      <c r="E31" s="6" t="inlineStr">
        <is>
          <t>Agents</t>
        </is>
      </c>
      <c r="F31" s="6" t="inlineStr">
        <is>
          <t>Run agent-generated code and browser or computer-use sessions in isolation.</t>
        </is>
      </c>
      <c r="G31" s="6" t="inlineStr">
        <is>
          <t>Execute generated code in a sandbox with no network, filesystem or secrets access by default. Run browser and computer-use agents in a separate profile or container with their own credentials and sessions.</t>
        </is>
      </c>
      <c r="H31" s="6" t="inlineStr">
        <is>
          <t>Sandbox configuration; egress rules; isolation test results.</t>
        </is>
      </c>
      <c r="I31" s="6" t="inlineStr">
        <is>
          <t>Have a test agent run code that tries to reach the network, read secrets and write outside its workspace. Confirm each attempt fails and is logged.</t>
        </is>
      </c>
      <c r="J31" s="6" t="inlineStr">
        <is>
          <t>Platform Engineering</t>
        </is>
      </c>
      <c r="K31" s="6" t="inlineStr">
        <is>
          <t>Semi-annually</t>
        </is>
      </c>
      <c r="L31" s="6" t="inlineStr">
        <is>
          <t>AI-R07, AI-R21, AI-R22, AI-R25, AI-R55</t>
        </is>
      </c>
      <c r="M31" s="6" t="inlineStr">
        <is>
          <t>LLM06:2025 Excessive Agency; ASI05 Unexpected Code Execution (RCE)</t>
        </is>
      </c>
      <c r="N31" s="6" t="inlineStr">
        <is>
          <t>AML.T0050 Command and Scripting Interpreter; AML.T0105 Escape to Host; AML.T0102 Generate Malicious Commands</t>
        </is>
      </c>
      <c r="O31" s="6" t="inlineStr">
        <is>
          <t>AML.M0032 Segmentation of AI Agent Components; AML.M0011 Restrict Library Loading</t>
        </is>
      </c>
      <c r="P31" s="6" t="inlineStr">
        <is>
          <t>MEASURE 2.7; MANAGE 1.3</t>
        </is>
      </c>
      <c r="Q31" s="6" t="inlineStr">
        <is>
          <t>A.4.5 System and computing resources; A.6.2.5 AI system deployment</t>
        </is>
      </c>
      <c r="R31" s="6" t="inlineStr">
        <is>
          <t>A.8.22 Segregation of networks; A.8.27 Secure system architecture and engineering principles; A.8.31 Separation of development, test and production environments</t>
        </is>
      </c>
      <c r="S31" s="6" t="inlineStr">
        <is>
          <t>PR.PS Platform Security; PR.IR Technology Infrastructure Resilience</t>
        </is>
      </c>
      <c r="T31" s="6" t="inlineStr">
        <is>
          <t>CIS 4 Secure Configuration of Enterprise Assets and Software; CIS 12 Network Infrastructure Management; CIS 16 Application Software Security</t>
        </is>
      </c>
      <c r="U31" s="6" t="inlineStr">
        <is>
          <t>CC6.6 Protection against threats from outside the boundary; CC6.8 Unauthorized or malicious software</t>
        </is>
      </c>
      <c r="V31" s="6" t="n">
        <v>12</v>
      </c>
    </row>
    <row r="32" ht="120" customHeight="1">
      <c r="A32" s="140" t="inlineStr">
        <is>
          <t>AI-CTRL-028</t>
        </is>
      </c>
      <c r="B32" s="140" t="inlineStr">
        <is>
          <t>Model Protection</t>
        </is>
      </c>
      <c r="C32" s="140" t="inlineStr">
        <is>
          <t>Model, Training and Pipeline</t>
        </is>
      </c>
      <c r="D32" s="140" t="inlineStr">
        <is>
          <t>Advanced</t>
        </is>
      </c>
      <c r="E32" s="140" t="inlineStr">
        <is>
          <t>Custom AI Applications / AI APIs</t>
        </is>
      </c>
      <c r="F32" s="140" t="inlineStr">
        <is>
          <t>Protect models from theft, extraction and adversarial inputs.</t>
        </is>
      </c>
      <c r="G32" s="140" t="inlineStr">
        <is>
          <t>Restrict access to model weights and encrypt them at rest. Limit and monitor inference queries for extraction patterns. Scan models before use, and test robustness for models that make security or safety decisions.</t>
        </is>
      </c>
      <c r="H32" s="140" t="inlineStr">
        <is>
          <t>Model access list; query monitoring rules; model scan reports; robustness test results.</t>
        </is>
      </c>
      <c r="I32" s="140" t="inlineStr">
        <is>
          <t>Run a scripted extraction pattern against a test endpoint and confirm it is detected and throttled. Attempt to read model weights with a non-privileged identity.</t>
        </is>
      </c>
      <c r="J32" s="140" t="inlineStr">
        <is>
          <t>ML Engineering</t>
        </is>
      </c>
      <c r="K32" s="140" t="inlineStr">
        <is>
          <t>Semi-annually</t>
        </is>
      </c>
      <c r="L32" s="140" t="inlineStr">
        <is>
          <t>AI-R08</t>
        </is>
      </c>
      <c r="M32" s="140" t="inlineStr">
        <is>
          <t>LLM10:2025 Unbounded Consumption; LLM02:2025 Sensitive Information Disclosure</t>
        </is>
      </c>
      <c r="N32" s="140" t="inlineStr">
        <is>
          <t>AML.T0024 Exfiltration via AI Inference API; AML.T0043 Craft Adversarial Data; AML.T0015 Evade AI Model; AML.T0044 Full AI Model Access; AML.T0018 Manipulate AI Model</t>
        </is>
      </c>
      <c r="O32" s="140" t="inlineStr">
        <is>
          <t>AML.M0004 Limit AI Service Query Volume and Rate; AML.M0005 Control Access to AI Models and Data at Rest; AML.M0003 Predictive AI Model Hardening; AML.M0015 Predictive AI Adversarial Input Detection; AML.M0008 Validate AI Model</t>
        </is>
      </c>
      <c r="P32" s="140" t="inlineStr">
        <is>
          <t>MEASURE 2.7; MEASURE 2.5</t>
        </is>
      </c>
      <c r="Q32" s="140" t="inlineStr">
        <is>
          <t>A.6.2.4 AI system verification and validation; A.6.2.6 AI system operation and monitoring</t>
        </is>
      </c>
      <c r="R32" s="140" t="inlineStr">
        <is>
          <t>A.5.15 Access control; A.8.3 Information access restriction; A.8.12 Data leakage prevention; A.8.24 Use of cryptography</t>
        </is>
      </c>
      <c r="S32" s="140" t="inlineStr">
        <is>
          <t>PR.AA Identity Management, Authentication, and Access Control; PR.DS Data Security</t>
        </is>
      </c>
      <c r="T32" s="140" t="inlineStr">
        <is>
          <t>CIS 3 Data Protection; CIS 6 Access Control Management</t>
        </is>
      </c>
      <c r="U32" s="140" t="inlineStr">
        <is>
          <t>CC6.1 Logical access security; CC6.7 Transmission, movement and removal of information; C1.1 Identification of confidential information</t>
        </is>
      </c>
      <c r="V32" s="140" t="n">
        <v>20</v>
      </c>
    </row>
    <row r="33" ht="120" customHeight="1">
      <c r="A33" s="6" t="inlineStr">
        <is>
          <t>AI-CTRL-029</t>
        </is>
      </c>
      <c r="B33" s="6" t="inlineStr">
        <is>
          <t>Training and Fine-Tuning Data Integrity</t>
        </is>
      </c>
      <c r="C33" s="6" t="inlineStr">
        <is>
          <t>Model, Training and Pipeline</t>
        </is>
      </c>
      <c r="D33" s="6" t="inlineStr">
        <is>
          <t>Advanced</t>
        </is>
      </c>
      <c r="E33" s="6" t="inlineStr">
        <is>
          <t>Custom AI Applications</t>
        </is>
      </c>
      <c r="F33" s="6" t="inlineStr">
        <is>
          <t>Know where training data came from and detect tampering before it shapes a model.</t>
        </is>
      </c>
      <c r="G33" s="6" t="inlineStr">
        <is>
          <t>Record provenance for every dataset. Verify integrity before each training or fine-tuning run. Screen data for sensitive content and poisoning, and keep the ability to trace a model back to its data. Define a data quality profile for each dataset: choose the quality characteristics that matter for the task (for example completeness, accuracy, balance and representativeness, as named in ISO/IEC 5259-2), set a measured threshold for each, and have the data owner approve them. Check the thresholds before each run, and treat labelling quality as part of the profile when data is labelled.</t>
        </is>
      </c>
      <c r="H33" s="6" t="inlineStr">
        <is>
          <t>Dataset provenance records; integrity checks; screening results; model-to-data lineage; approved data quality profile and the measured results for each run.</t>
        </is>
      </c>
      <c r="I33" s="6" t="inlineStr">
        <is>
          <t>Alter a sample of a test dataset and confirm the integrity check fails the run. Trace a deployed model back to the exact dataset versions used.</t>
        </is>
      </c>
      <c r="J33" s="6" t="inlineStr">
        <is>
          <t>ML Engineering / Data Owner</t>
        </is>
      </c>
      <c r="K33" s="6" t="inlineStr">
        <is>
          <t>Before each training run</t>
        </is>
      </c>
      <c r="L33" s="6" t="inlineStr">
        <is>
          <t>AI-R08</t>
        </is>
      </c>
      <c r="M33" s="6" t="inlineStr">
        <is>
          <t>LLM04:2025 Data and Model Poisoning</t>
        </is>
      </c>
      <c r="N33" s="6" t="inlineStr">
        <is>
          <t>AML.T0020 Training Data Poisoning; AML.T0059 Erode Dataset Integrity</t>
        </is>
      </c>
      <c r="O33" s="6" t="inlineStr">
        <is>
          <t>AML.M0007 Sanitize Training Data; AML.M0025 Maintain AI Dataset Provenance</t>
        </is>
      </c>
      <c r="P33" s="6" t="inlineStr">
        <is>
          <t>MAP 2.3; MAP 4.1; MEASURE 2.7; MEASURE 2.10</t>
        </is>
      </c>
      <c r="Q33" s="6" t="inlineStr">
        <is>
          <t>A.7.2 Data for development and enhancement of AI system; A.7.3 Acquisition of data; A.7.4 Quality of data for AI systems; A.7.5 Data provenance</t>
        </is>
      </c>
      <c r="R33" s="6" t="inlineStr">
        <is>
          <t>A.5.9 Inventory of information and other associated assets; A.5.21 Managing information security in the ICT supply chain; A.8.33 Test information</t>
        </is>
      </c>
      <c r="S33" s="6" t="inlineStr">
        <is>
          <t>GV.SC Cybersecurity Supply Chain Risk Management; ID.AM Asset Management; PR.DS Data Security</t>
        </is>
      </c>
      <c r="T33" s="6" t="inlineStr">
        <is>
          <t>CIS 3 Data Protection</t>
        </is>
      </c>
      <c r="U33" s="6" t="inlineStr">
        <is>
          <t>PI1.2 Inputs</t>
        </is>
      </c>
      <c r="V33" s="6" t="n">
        <v>18</v>
      </c>
    </row>
    <row r="34" ht="120" customHeight="1">
      <c r="A34" s="140" t="inlineStr">
        <is>
          <t>AI-CTRL-030</t>
        </is>
      </c>
      <c r="B34" s="140" t="inlineStr">
        <is>
          <t>ML Pipeline and Model Registry Security</t>
        </is>
      </c>
      <c r="C34" s="140" t="inlineStr">
        <is>
          <t>Model, Training and Pipeline</t>
        </is>
      </c>
      <c r="D34" s="140" t="inlineStr">
        <is>
          <t>Advanced</t>
        </is>
      </c>
      <c r="E34" s="140" t="inlineStr">
        <is>
          <t>Custom AI Applications</t>
        </is>
      </c>
      <c r="F34" s="140" t="inlineStr">
        <is>
          <t>Protect the pipeline that builds, stores and releases models and prompts.</t>
        </is>
      </c>
      <c r="G34" s="140" t="inlineStr">
        <is>
          <t>Sign model artifacts and verify signatures at deployment. Restrict who can write to the registry. Gate releases on security tests, and version models, prompts and configuration together.</t>
        </is>
      </c>
      <c r="H34" s="140" t="inlineStr">
        <is>
          <t>Signing configuration; registry access list; release gate results; version history.</t>
        </is>
      </c>
      <c r="I34" s="140" t="inlineStr">
        <is>
          <t>Attempt to deploy an unsigned or altered artifact and confirm it is rejected. Confirm a failed security test blocks a release.</t>
        </is>
      </c>
      <c r="J34" s="140" t="inlineStr">
        <is>
          <t>MLOps / DevSecOps</t>
        </is>
      </c>
      <c r="K34" s="140" t="inlineStr">
        <is>
          <t>Semi-annually</t>
        </is>
      </c>
      <c r="L34" s="140" t="inlineStr">
        <is>
          <t>AI-R08</t>
        </is>
      </c>
      <c r="M34" s="140" t="inlineStr">
        <is>
          <t>LLM03:2025 Supply Chain; LLM04:2025 Data and Model Poisoning</t>
        </is>
      </c>
      <c r="N34" s="140" t="inlineStr">
        <is>
          <t>AML.T0010 AI Supply Chain Compromise; AML.T0018 Manipulate AI Model; AML.T0119 Exploit Automated Artifact Processing Pipeline</t>
        </is>
      </c>
      <c r="O34" s="140" t="inlineStr">
        <is>
          <t>AML.M0013 Code Signing; AML.M0014 Verify AI Artifacts</t>
        </is>
      </c>
      <c r="P34" s="140" t="inlineStr">
        <is>
          <t>MEASURE 2.7; MAP 4.2</t>
        </is>
      </c>
      <c r="Q34" s="140" t="inlineStr">
        <is>
          <t>A.6.2.5 AI system deployment; A.6.2.3 Documentation of AI system design and development; A.6.1.3 Processes for responsible design and development; A.6.2.7 AI system technical documentation</t>
        </is>
      </c>
      <c r="R34" s="140" t="inlineStr">
        <is>
          <t>A.8.4 Access to source code; A.8.9 Configuration management; A.8.25 Secure development life cycle; A.8.29 Security testing in development and acceptance; A.8.31 Separation of development, test and production environments; A.8.32 Change management</t>
        </is>
      </c>
      <c r="S34" s="140" t="inlineStr">
        <is>
          <t>PR.AA Identity Management, Authentication, and Access Control; PR.PS Platform Security</t>
        </is>
      </c>
      <c r="T34" s="140" t="inlineStr">
        <is>
          <t>CIS 4 Secure Configuration of Enterprise Assets and Software; CIS 16 Application Software Security</t>
        </is>
      </c>
      <c r="U34" s="140" t="inlineStr">
        <is>
          <t>CC6.1 Logical access security; CC8.1 Change management</t>
        </is>
      </c>
      <c r="V34" s="140" t="n">
        <v>16</v>
      </c>
    </row>
    <row r="35" ht="120" customHeight="1">
      <c r="A35" s="6" t="inlineStr">
        <is>
          <t>AI-CTRL-031</t>
        </is>
      </c>
      <c r="B35" s="6" t="inlineStr">
        <is>
          <t>AI Supply Chain and AI-BOM</t>
        </is>
      </c>
      <c r="C35" s="6" t="inlineStr">
        <is>
          <t>Supply Chain, Infrastructure and Resilience</t>
        </is>
      </c>
      <c r="D35" s="6" t="inlineStr">
        <is>
          <t>Advanced</t>
        </is>
      </c>
      <c r="E35" s="6" t="inlineStr">
        <is>
          <t>Custom AI Applications / Agents / IDE AI / Vendors</t>
        </is>
      </c>
      <c r="F35" s="6" t="inlineStr">
        <is>
          <t>Know exactly which models, datasets, packages and prompts run in each environment.</t>
        </is>
      </c>
      <c r="G35" s="6" t="inlineStr">
        <is>
          <t>Maintain an AI bill of materials per system. Take models and packages only from approved sources, verify provenance, and scan them. Re-run security tests when any component changes, including a provider-side model update. Pin model versions rather than using floating aliases such as "latest", and track provider deprecation and change notices so that a model change is a reviewed change. Record in the AI-BOM the model and version, harness and orchestration components, where it is hosted and who runs it, the data and systems it can reach with the restrictions on them, the provider's data use and retention terms, and the intended users and use cases. Authorise, list and monitor for tampering any AI script or widget loaded on a payment page, as for any other page script.</t>
        </is>
      </c>
      <c r="H35" s="6" t="inlineStr">
        <is>
          <t>AI-BOM; approved source list; scan reports; change-triggered test records.</t>
        </is>
      </c>
      <c r="I35" s="6" t="inlineStr">
        <is>
          <t>Compare the AI-BOM of a sampled system with what is deployed. Introduce a component from an unapproved source and confirm it is blocked or flagged.</t>
        </is>
      </c>
      <c r="J35" s="6" t="inlineStr">
        <is>
          <t>DevSecOps</t>
        </is>
      </c>
      <c r="K35" s="6" t="inlineStr">
        <is>
          <t>Quarterly</t>
        </is>
      </c>
      <c r="L35" s="6" t="inlineStr">
        <is>
          <t>AI-R08, AI-R16, AI-R23</t>
        </is>
      </c>
      <c r="M35" s="6" t="inlineStr">
        <is>
          <t>LLM03:2025 Supply Chain</t>
        </is>
      </c>
      <c r="N35" s="6" t="inlineStr">
        <is>
          <t>AML.T0010 AI Supply Chain Compromise; AML.T0109 AI Supply Chain Rug Pull; AML.T0115 Publish Poisoned AI Artifacts; AML.T0111 AI Supply Chain Reputation Inflation</t>
        </is>
      </c>
      <c r="O35" s="6" t="inlineStr">
        <is>
          <t>AML.M0023 AI Bill of Materials; AML.M0014 Verify AI Artifacts; AML.M0016 Vulnerability Scanning</t>
        </is>
      </c>
      <c r="P35" s="6" t="inlineStr">
        <is>
          <t>GOVERN 6.1; MAP 4.1; MANAGE 3.1; MANAGE 3.2</t>
        </is>
      </c>
      <c r="Q35" s="6" t="inlineStr">
        <is>
          <t>A.10.3 Suppliers; A.4.2 Resource documentation; A.7.5 Data provenance; A.6.2.7 AI system technical documentation</t>
        </is>
      </c>
      <c r="R35" s="6" t="inlineStr">
        <is>
          <t>A.5.9 Inventory of information and other associated assets; A.5.21 Managing information security in the ICT supply chain; A.8.8 Management of technical vulnerabilities; A.8.19 Installation of software on operational systems; A.8.30 Outsourced development</t>
        </is>
      </c>
      <c r="S35" s="6" t="inlineStr">
        <is>
          <t>GV.SC Cybersecurity Supply Chain Risk Management; ID.AM Asset Management; ID.RA Risk Assessment</t>
        </is>
      </c>
      <c r="T35" s="6" t="inlineStr">
        <is>
          <t>CIS 2 Inventory and Control of Software Assets; CIS 7 Continuous Vulnerability Management; CIS 15 Service Provider Management; CIS 16 Application Software Security</t>
        </is>
      </c>
      <c r="U35" s="6" t="inlineStr">
        <is>
          <t>CC7.1 Detection of configuration changes and vulnerabilities; CC9.2 Vendor and business partner risk</t>
        </is>
      </c>
      <c r="V35" s="6" t="n">
        <v>25</v>
      </c>
    </row>
    <row r="36" ht="120" customHeight="1">
      <c r="A36" s="140" t="inlineStr">
        <is>
          <t>AI-CTRL-032</t>
        </is>
      </c>
      <c r="B36" s="140" t="inlineStr">
        <is>
          <t>AI Infrastructure Hardening</t>
        </is>
      </c>
      <c r="C36" s="140" t="inlineStr">
        <is>
          <t>Supply Chain, Infrastructure and Resilience</t>
        </is>
      </c>
      <c r="D36" s="140" t="inlineStr">
        <is>
          <t>Advanced</t>
        </is>
      </c>
      <c r="E36" s="140" t="inlineStr">
        <is>
          <t>Custom AI Applications</t>
        </is>
      </c>
      <c r="F36" s="140" t="inlineStr">
        <is>
          <t>Harden and segment the infrastructure that trains and serves models.</t>
        </is>
      </c>
      <c r="G36" s="140" t="inlineStr">
        <is>
          <t>Separate experimentation, training, evaluation and production. Isolate model runtimes at the network level and allow only required egress. Manage secrets centrally, and isolate tenants on shared GPUs. Set security requirements for the model APIs and other network services that AI systems call, including authentication, encryption in transit and the endpoints allowed, and monitor them.</t>
        </is>
      </c>
      <c r="H36" s="140" t="inlineStr">
        <is>
          <t>Network segmentation rules; secrets management configuration; hardening baseline; isolation tests.</t>
        </is>
      </c>
      <c r="I36" s="140" t="inlineStr">
        <is>
          <t>Attempt to reach production data from the experimentation environment and to open unapproved egress from a model runtime. Confirm both fail.</t>
        </is>
      </c>
      <c r="J36" s="140" t="inlineStr">
        <is>
          <t>Platform Engineering</t>
        </is>
      </c>
      <c r="K36" s="140" t="inlineStr">
        <is>
          <t>Semi-annually</t>
        </is>
      </c>
      <c r="L36" s="140" t="inlineStr">
        <is>
          <t>AI-R08, AI-R10</t>
        </is>
      </c>
      <c r="M36" s="140" t="inlineStr">
        <is>
          <t>LLM03:2025 Supply Chain</t>
        </is>
      </c>
      <c r="N36" s="140" t="inlineStr">
        <is>
          <t>AML.T0049 Exploit Public-Facing Application; AML.T0132 Misconfigured or Publicly Exposed AI Services; AML.T0055 Unsecured Credentials; AML.T0025 Exfiltration via Cyber Means</t>
        </is>
      </c>
      <c r="O36" s="140" t="inlineStr">
        <is>
          <t>AML.M0005 Control Access to AI Models and Data at Rest; AML.M0012 Encrypt Sensitive Information; AML.M0016 Vulnerability Scanning; AML.M0019 Control Access to AI Models and Data in Production</t>
        </is>
      </c>
      <c r="P36" s="140" t="inlineStr">
        <is>
          <t>MEASURE 2.7; MAP 4.2</t>
        </is>
      </c>
      <c r="Q36" s="140" t="inlineStr">
        <is>
          <t>A.4.5 System and computing resources</t>
        </is>
      </c>
      <c r="R36" s="140" t="inlineStr">
        <is>
          <t>A.5.23 Information security for use of cloud services; A.8.8 Management of technical vulnerabilities; A.8.9 Configuration management; A.8.20 Networks security; A.8.22 Segregation of networks; A.8.24 Use of cryptography; A.8.21 Security of network services</t>
        </is>
      </c>
      <c r="S36" s="140" t="inlineStr">
        <is>
          <t>PR.DS Data Security; PR.PS Platform Security; PR.IR Technology Infrastructure Resilience</t>
        </is>
      </c>
      <c r="T36" s="140" t="inlineStr">
        <is>
          <t>CIS 4 Secure Configuration of Enterprise Assets and Software; CIS 7 Continuous Vulnerability Management; CIS 12 Network Infrastructure Management; CIS 13 Network Monitoring and Defense</t>
        </is>
      </c>
      <c r="U36" s="140" t="inlineStr">
        <is>
          <t>CC6.1 Logical access security; CC6.6 Protection against threats from outside the boundary; CC7.1 Detection of configuration changes and vulnerabilities</t>
        </is>
      </c>
      <c r="V36" s="140" t="n">
        <v>27</v>
      </c>
    </row>
    <row r="37" ht="120" customHeight="1">
      <c r="A37" s="6" t="inlineStr">
        <is>
          <t>AI-CTRL-033</t>
        </is>
      </c>
      <c r="B37" s="6" t="inlineStr">
        <is>
          <t>AI Security Review and Release Gate</t>
        </is>
      </c>
      <c r="C37" s="6" t="inlineStr">
        <is>
          <t>Assurance and Testing</t>
        </is>
      </c>
      <c r="D37" s="6" t="inlineStr">
        <is>
          <t>Baseline</t>
        </is>
      </c>
      <c r="E37" s="6" t="inlineStr">
        <is>
          <t>Custom AI Applications / Agents / Vendors</t>
        </is>
      </c>
      <c r="F37" s="6" t="inlineStr">
        <is>
          <t>Review every AI system against its threats before production and after material change.</t>
        </is>
      </c>
      <c r="G37" s="6" t="inlineStr">
        <is>
          <t>Threat model each system: assets, trust boundaries, worst-case output and maximum damage. Select controls from this library by risk tier. Record open risks and exceptions, and require sign-off before release. When an agent changes production systems, each change carries the same record as a person's change: reason, security impact, approval by an authorised person, test results and a rollback that was tested before approval. Set documented objectives for responsible development, such as security, privacy, reliability and fairness targets, and use them as release criteria.</t>
        </is>
      </c>
      <c r="H37" s="6" t="inlineStr">
        <is>
          <t>Threat models; architecture review records; control selection; approvals and exceptions; responsible development objectives.</t>
        </is>
      </c>
      <c r="I37" s="6" t="inlineStr">
        <is>
          <t>Sample production systems and confirm each has a current threat model, a control selection that matches its tier and a signed approval.</t>
        </is>
      </c>
      <c r="J37" s="6" t="inlineStr">
        <is>
          <t>Security Architecture</t>
        </is>
      </c>
      <c r="K37" s="6" t="inlineStr">
        <is>
          <t>Before each release and annually</t>
        </is>
      </c>
      <c r="L37" s="6" t="inlineStr">
        <is>
          <t>AI-R05, AI-R07, AI-R08, AI-R14, AI-R16, AI-R55</t>
        </is>
      </c>
      <c r="M37" s="6" t="inlineStr">
        <is>
          <t>None published in the OWASP Top 10 lists. The wiki's own identifier applies: AI-CTRL-033.</t>
        </is>
      </c>
      <c r="N37" s="6" t="inlineStr">
        <is>
          <t>None published in MITRE ATLAS techniques. The wiki's own identifier applies: AI-CTRL-033.</t>
        </is>
      </c>
      <c r="O37" s="6" t="inlineStr">
        <is>
          <t>None published in MITRE ATLAS mitigations. The wiki's own identifier applies: AI-CTRL-033.</t>
        </is>
      </c>
      <c r="P37" s="6" t="inlineStr">
        <is>
          <t>MANAGE 1.1; GOVERN 4.2; MEASURE 2.7</t>
        </is>
      </c>
      <c r="Q37" s="6" t="inlineStr">
        <is>
          <t>A.5.2 AI system impact assessment process; A.6.2.2 AI system requirements and specification; A.6.2.4 AI system verification and validation; A.6.2.5 AI system deployment; A.6.1.2 Objectives for responsible development of AI systems; A.6.1.3 Processes for responsible design and development</t>
        </is>
      </c>
      <c r="R37" s="6" t="inlineStr">
        <is>
          <t>A.5.8 Information security in project management; A.8.25 Secure development life cycle; A.8.27 Secure system architecture and engineering principles; A.8.29 Security testing in development and acceptance; A.8.32 Change management</t>
        </is>
      </c>
      <c r="S37" s="6" t="inlineStr">
        <is>
          <t>ID.RA Risk Assessment; PR.PS Platform Security</t>
        </is>
      </c>
      <c r="T37" s="6" t="inlineStr">
        <is>
          <t>CIS 16 Application Software Security</t>
        </is>
      </c>
      <c r="U37" s="6" t="inlineStr">
        <is>
          <t>CC3.4 Assessment of change; CC8.1 Change management</t>
        </is>
      </c>
      <c r="V37" s="6" t="n">
        <v>8</v>
      </c>
    </row>
    <row r="38" ht="120" customHeight="1">
      <c r="A38" s="140" t="inlineStr">
        <is>
          <t>AI-CTRL-034</t>
        </is>
      </c>
      <c r="B38" s="140" t="inlineStr">
        <is>
          <t>Adversarial Testing and Continuous Evaluation</t>
        </is>
      </c>
      <c r="C38" s="140" t="inlineStr">
        <is>
          <t>Assurance and Testing</t>
        </is>
      </c>
      <c r="D38" s="140" t="inlineStr">
        <is>
          <t>Advanced</t>
        </is>
      </c>
      <c r="E38" s="140" t="inlineStr">
        <is>
          <t>Custom AI Applications / Agents</t>
        </is>
      </c>
      <c r="F38" s="140" t="inlineStr">
        <is>
          <t>Test AI systems against attacks before release and continuously afterwards.</t>
        </is>
      </c>
      <c r="G38" s="140" t="inlineStr">
        <is>
          <t>Red team each system against defined threat cases before release. Run a regression suite in the pipeline and whenever the model, prompt, tools or data change. The risk owner sets the acceptable attack success rate in writing. Re-run the regression suite whenever the model version, prompt, retrieval source or guardrail changes, including changes made by the provider, and set a tolerance for run-to-run output variation. Review each system's behaviour against its defined parameters at least quarterly, or at a frequency set by a documented risk analysis, and re-validate before go-live and after any change. Where an AI reviewer replaces manual code review, measure its detection rate on seeded flaws and re-measure when its model or configuration changes. Track AI threat intelligence, such as new MITRE ATLAS techniques, published incidents and provider advisories, and add relevant techniques to the threat cases and regression suite. Before testing a production system, agree the scope, timing and safeguards with its owner, and use test accounts and test data.</t>
        </is>
      </c>
      <c r="H38" s="140" t="inlineStr">
        <is>
          <t>Red team reports; regression suite results; agreed thresholds; retest records; threat intelligence review log; production test authorisations.</t>
        </is>
      </c>
      <c r="I38" s="140" t="inlineStr">
        <is>
          <t>Confirm the last model or prompt change triggered the regression suite. Reproduce a sample of reported findings and confirm fixes hold.</t>
        </is>
      </c>
      <c r="J38" s="140" t="inlineStr">
        <is>
          <t>AI Red Team / AppSec</t>
        </is>
      </c>
      <c r="K38" s="140" t="inlineStr">
        <is>
          <t>Before each release and continuously</t>
        </is>
      </c>
      <c r="L38" s="140" t="inlineStr">
        <is>
          <t>AI-R05, AI-R07, AI-R16, AI-R17, AI-R20</t>
        </is>
      </c>
      <c r="M38" s="140" t="inlineStr">
        <is>
          <t>LLM01:2025 Prompt Injection; LLM02:2025 Sensitive Information Disclosure; LLM03:2025 Supply Chain; LLM04:2025 Data and Model Poisoning; LLM05:2025 Improper Output Handling; LLM06:2025 Excessive Agency; LLM07:2025 System Prompt Leakage; LLM08:2025 Vector and Embedding Weaknesses; LLM09:2025 Misinformation; LLM10:2025 Unbounded Consumption</t>
        </is>
      </c>
      <c r="N38" s="140" t="inlineStr">
        <is>
          <t>None published in MITRE ATLAS techniques. The wiki's own identifier applies: AI-CTRL-034.</t>
        </is>
      </c>
      <c r="O38" s="140" t="inlineStr">
        <is>
          <t>AML.M0035 AI Red Team</t>
        </is>
      </c>
      <c r="P38" s="140" t="inlineStr">
        <is>
          <t>MEASURE 2.7; MEASURE 2.6; MEASURE 2.1; GOVERN 4.3</t>
        </is>
      </c>
      <c r="Q38" s="140" t="inlineStr">
        <is>
          <t>A.6.2.4 AI system verification and validation</t>
        </is>
      </c>
      <c r="R38" s="140" t="inlineStr">
        <is>
          <t>A.8.8 Management of technical vulnerabilities; A.8.29 Security testing in development and acceptance; A.5.7 Threat intelligence; A.8.34 Protection of information systems during audit testing</t>
        </is>
      </c>
      <c r="S38" s="140" t="inlineStr">
        <is>
          <t>ID.RA Risk Assessment; ID.IM Improvement</t>
        </is>
      </c>
      <c r="T38" s="140" t="inlineStr">
        <is>
          <t>CIS 7 Continuous Vulnerability Management; CIS 18 Penetration Testing</t>
        </is>
      </c>
      <c r="U38" s="140" t="inlineStr">
        <is>
          <t>CC4.1 Ongoing and separate evaluations; CC7.1 Detection of configuration changes and vulnerabilities</t>
        </is>
      </c>
      <c r="V38" s="140" t="n">
        <v>38</v>
      </c>
    </row>
    <row r="39" ht="120" customHeight="1">
      <c r="A39" s="6" t="inlineStr">
        <is>
          <t>AI-CTRL-035</t>
        </is>
      </c>
      <c r="B39" s="6" t="inlineStr">
        <is>
          <t>AI Incident Response and Forensics</t>
        </is>
      </c>
      <c r="C39" s="6" t="inlineStr">
        <is>
          <t>Detection and Response</t>
        </is>
      </c>
      <c r="D39" s="6" t="inlineStr">
        <is>
          <t>Baseline</t>
        </is>
      </c>
      <c r="E39" s="6" t="inlineStr">
        <is>
          <t>Browser AI / IDE AI / AI APIs / Custom AI Applications / Agents / Vendors</t>
        </is>
      </c>
      <c r="F39" s="6" t="inlineStr">
        <is>
          <t>Detect, contain, investigate and recover from AI security incidents.</t>
        </is>
      </c>
      <c r="G39" s="6" t="inlineStr">
        <is>
          <t>Maintain AI-specific playbooks and an incident taxonomy. Preserve state needed for investigation: prompts, context, index snapshots, memory and model version. Define containment options and how to work with the model provider. Include AI failure scenarios in the incident response plan and its tests, even before one has caused a loss: successful prompt injection, model poisoning, an agent acting outside its defined scope, and shadow AI found with access to sensitive data.</t>
        </is>
      </c>
      <c r="H39" s="6" t="inlineStr">
        <is>
          <t>Playbooks; exercise records; preserved-state checklist; provider contact and escalation path.</t>
        </is>
      </c>
      <c r="I39" s="6" t="inlineStr">
        <is>
          <t>Run a tabletop or lab exercise for a prompt injection incident. Confirm the interaction can be replayed, scoped and contained using the playbook.</t>
        </is>
      </c>
      <c r="J39" s="6" t="inlineStr">
        <is>
          <t>SOC / Incident Response</t>
        </is>
      </c>
      <c r="K39" s="6" t="inlineStr">
        <is>
          <t>Annually and after each incident</t>
        </is>
      </c>
      <c r="L39" s="6" t="inlineStr">
        <is>
          <t>AI-R09, AI-R20</t>
        </is>
      </c>
      <c r="M39" s="6" t="inlineStr">
        <is>
          <t>None published in the OWASP Top 10 lists. The wiki's own identifier applies: AI-CTRL-035.</t>
        </is>
      </c>
      <c r="N39" s="6" t="inlineStr">
        <is>
          <t>None published in MITRE ATLAS techniques. The wiki's own identifier applies: AI-CTRL-035.</t>
        </is>
      </c>
      <c r="O39" s="6" t="inlineStr">
        <is>
          <t>AML.M0024 AI Telemetry Logging</t>
        </is>
      </c>
      <c r="P39" s="6" t="inlineStr">
        <is>
          <t>MANAGE 4.3; MANAGE 2.3; GOVERN 4.3; GOVERN 6.2</t>
        </is>
      </c>
      <c r="Q39" s="6" t="inlineStr">
        <is>
          <t>A.8.4 Communication of incidents; A.8.3 External reporting; A.3.3 Reporting of concerns; A.6.2.6 AI system operation and monitoring</t>
        </is>
      </c>
      <c r="R39" s="6" t="inlineStr">
        <is>
          <t>A.5.24 Information security incident management planning and preparation; A.5.25 Assessment and decision on information security events; A.5.26 Response to information security incidents; A.5.27 Learning from information security incidents; A.5.28 Collection of evidence; A.6.8 Information security event reporting; A.5.37 Documented operating procedures</t>
        </is>
      </c>
      <c r="S39" s="6" t="inlineStr">
        <is>
          <t>DE.AE Adverse Event Analysis; RS.MA Incident Management; RS.AN Incident Analysis; RS.CO Incident Response Reporting and Communication; RS.MI Incident Mitigation; RC.RP Incident Recovery Plan Execution</t>
        </is>
      </c>
      <c r="T39" s="6" t="inlineStr">
        <is>
          <t>CIS 17 Incident Response Management</t>
        </is>
      </c>
      <c r="U39" s="6" t="inlineStr">
        <is>
          <t>CC7.3 Evaluation of security events; CC7.4 Incident response; CC7.5 Recovery from incidents</t>
        </is>
      </c>
      <c r="V39" s="6" t="n">
        <v>40</v>
      </c>
    </row>
    <row r="40" ht="120" customHeight="1">
      <c r="A40" s="140" t="inlineStr">
        <is>
          <t>AI-CTRL-036</t>
        </is>
      </c>
      <c r="B40" s="140" t="inlineStr">
        <is>
          <t>AI Cost and Abuse Controls</t>
        </is>
      </c>
      <c r="C40" s="140" t="inlineStr">
        <is>
          <t>Cost and Abuse</t>
        </is>
      </c>
      <c r="D40" s="140" t="inlineStr">
        <is>
          <t>Baseline</t>
        </is>
      </c>
      <c r="E40" s="140" t="inlineStr">
        <is>
          <t>AI APIs / Custom AI Applications / Agents</t>
        </is>
      </c>
      <c r="F40" s="140" t="inlineStr">
        <is>
          <t>Attribute AI spend and stop abuse that exhausts budget or capacity.</t>
        </is>
      </c>
      <c r="G40" s="140" t="inlineStr">
        <is>
          <t>Attribute usage to team, application, user and key. Set budgets, rate limits and quotas with enforcement. Detect spend anomalies and leaked keys, and limit loops and retries in agents.</t>
        </is>
      </c>
      <c r="H40" s="140" t="inlineStr">
        <is>
          <t>Cost attribution reports; budget and quota configuration; anomaly alerts; key revocation records.</t>
        </is>
      </c>
      <c r="I40" s="140" t="inlineStr">
        <is>
          <t>Drive a test key past its budget and confirm enforcement. Simulate a traffic spike on a public endpoint and confirm detection and throttling.</t>
        </is>
      </c>
      <c r="J40" s="140" t="inlineStr">
        <is>
          <t>FinOps / AI Platform Team</t>
        </is>
      </c>
      <c r="K40" s="140" t="inlineStr">
        <is>
          <t>Quarterly</t>
        </is>
      </c>
      <c r="L40" s="140" t="inlineStr">
        <is>
          <t>AI-R11</t>
        </is>
      </c>
      <c r="M40" s="140" t="inlineStr">
        <is>
          <t>LLM10:2025 Unbounded Consumption</t>
        </is>
      </c>
      <c r="N40" s="140" t="inlineStr">
        <is>
          <t>AML.T0034 Cost Harvesting; AML.T0029 Denial of AI Service; AML.T0046 Spamming AI System with Chaff Data</t>
        </is>
      </c>
      <c r="O40" s="140" t="inlineStr">
        <is>
          <t>AML.M0004 Limit AI Service Query Volume and Rate; AML.M0036 Limit AI Workload Resource Consumption</t>
        </is>
      </c>
      <c r="P40" s="140" t="inlineStr">
        <is>
          <t>MEASURE 2.7; MANAGE 4.1</t>
        </is>
      </c>
      <c r="Q40" s="140" t="inlineStr">
        <is>
          <t>A.4.5 System and computing resources</t>
        </is>
      </c>
      <c r="R40" s="140" t="inlineStr">
        <is>
          <t>A.8.6 Capacity management; A.8.16 Monitoring activities</t>
        </is>
      </c>
      <c r="S40" s="140" t="inlineStr">
        <is>
          <t>PR.IR Technology Infrastructure Resilience; DE.CM Continuous Monitoring</t>
        </is>
      </c>
      <c r="T40" s="140" t="inlineStr">
        <is>
          <t>None published in the CIS Controls. The wiki's own identifier applies: AI-CTRL-036.</t>
        </is>
      </c>
      <c r="U40" s="140" t="inlineStr">
        <is>
          <t>A1.1 Capacity</t>
        </is>
      </c>
      <c r="V40" s="140" t="n">
        <v>30</v>
      </c>
    </row>
    <row r="41" ht="120" customHeight="1">
      <c r="A41" s="6" t="inlineStr">
        <is>
          <t>AI-CTRL-037</t>
        </is>
      </c>
      <c r="B41" s="6" t="inlineStr">
        <is>
          <t>AI Risk Assessment and Exception Management</t>
        </is>
      </c>
      <c r="C41" s="6" t="inlineStr">
        <is>
          <t>Governance and Compliance</t>
        </is>
      </c>
      <c r="D41" s="6" t="inlineStr">
        <is>
          <t>Advanced</t>
        </is>
      </c>
      <c r="E41" s="6" t="inlineStr">
        <is>
          <t>Browser AI / IDE AI / AI APIs / Custom AI Applications / Agents / Vendors</t>
        </is>
      </c>
      <c r="F41" s="6" t="inlineStr">
        <is>
          <t>Assess, treat and accept AI risks consistently, and keep every exception owned and time-bound.</t>
        </is>
      </c>
      <c r="G41" s="6" t="inlineStr">
        <is>
          <t>Keep an AI risk register with an owner and a score for every risk. Use one scoring method so that different assessors reach the same result. Accept residual risk only at the right authority level. Give every exception an owner, a compensating control and an expiry date that the technical control enforces. Allow for attackers who use AI: set remediation and exception time limits for exposed systems on the assumption that a disclosed vulnerability can be exploited within days, and size vulnerability triage for a higher volume of findings (AI-R55).</t>
        </is>
      </c>
      <c r="H41" s="6" t="inlineStr">
        <is>
          <t>AI risk register; treatment plans; risk acceptance records; exception register with expiry dates.</t>
        </is>
      </c>
      <c r="I41" s="6" t="inlineStr">
        <is>
          <t>Sample accepted risks and confirm the approver had the authority. Let a test exception expire and confirm the technical control blocks the activity again.</t>
        </is>
      </c>
      <c r="J41" s="6" t="inlineStr">
        <is>
          <t>Cyber Risk / GRC</t>
        </is>
      </c>
      <c r="K41" s="6" t="inlineStr">
        <is>
          <t>Quarterly</t>
        </is>
      </c>
      <c r="L41" s="6" t="inlineStr">
        <is>
          <t>AI-R02, AI-R18, AI-R28, AI-R55</t>
        </is>
      </c>
      <c r="M41" s="6" t="inlineStr">
        <is>
          <t>None published in the OWASP Top 10 lists. The wiki's own identifier applies: AI-CTRL-037.</t>
        </is>
      </c>
      <c r="N41" s="6" t="inlineStr">
        <is>
          <t>None published in MITRE ATLAS techniques. The wiki's own identifier applies: AI-CTRL-037.</t>
        </is>
      </c>
      <c r="O41" s="6" t="inlineStr">
        <is>
          <t>None published in MITRE ATLAS mitigations. The wiki's own identifier applies: AI-CTRL-037.</t>
        </is>
      </c>
      <c r="P41" s="6" t="inlineStr">
        <is>
          <t>GOVERN 1.3; MAP 1.5; MANAGE 1.2; MANAGE 1.4</t>
        </is>
      </c>
      <c r="Q41" s="6" t="inlineStr">
        <is>
          <t>Clause 6.1.2 AI risk assessment; Clause 6.1.3 AI risk treatment</t>
        </is>
      </c>
      <c r="R41" s="6" t="inlineStr">
        <is>
          <t>Clause 6.1.2 Information security risk assessment; Clause 6.1.3 Information security risk treatment</t>
        </is>
      </c>
      <c r="S41" s="6" t="inlineStr">
        <is>
          <t>GV.RM Risk Management Strategy; ID.RA Risk Assessment</t>
        </is>
      </c>
      <c r="T41" s="6" t="inlineStr">
        <is>
          <t>None published in the CIS Controls. The wiki's own identifier applies: AI-CTRL-037.</t>
        </is>
      </c>
      <c r="U41" s="6" t="inlineStr">
        <is>
          <t>CC3.1 Objectives for risk assessment; CC3.2 Risk identification and analysis; CC9.1 Risk mitigation for business disruption</t>
        </is>
      </c>
      <c r="V41" s="6" t="n">
        <v>10</v>
      </c>
    </row>
    <row r="42" ht="120" customHeight="1">
      <c r="A42" s="140" t="inlineStr">
        <is>
          <t>AI-CTRL-038</t>
        </is>
      </c>
      <c r="B42" s="140" t="inlineStr">
        <is>
          <t>Control Assurance and Audit Evidence</t>
        </is>
      </c>
      <c r="C42" s="140" t="inlineStr">
        <is>
          <t>Assurance and Testing</t>
        </is>
      </c>
      <c r="D42" s="140" t="inlineStr">
        <is>
          <t>Advanced</t>
        </is>
      </c>
      <c r="E42" s="140" t="inlineStr">
        <is>
          <t>Browser AI / IDE AI / AI APIs / Custom AI Applications / Agents / Vendors</t>
        </is>
      </c>
      <c r="F42" s="140" t="inlineStr">
        <is>
          <t>Show, with current evidence, that each AI control is operating and that findings are closed.</t>
        </is>
      </c>
      <c r="G42" s="140" t="inlineStr">
        <is>
          <t>Measure control effectiveness on a schedule. Collect evidence automatically where possible and record its age. Have control owners attest periodically. Track findings to verified closure, and protect governance records from silent change.</t>
        </is>
      </c>
      <c r="H42" s="140" t="inlineStr">
        <is>
          <t>Control effectiveness results; evidence packs with collection dates; owner attestations; findings log; record change history.</t>
        </is>
      </c>
      <c r="I42" s="140" t="inlineStr">
        <is>
          <t>Request an evidence pack for a sampled control at short notice and check that the evidence is current. Confirm a closed finding was verified before closure.</t>
        </is>
      </c>
      <c r="J42" s="140" t="inlineStr">
        <is>
          <t>GRC / Internal Audit</t>
        </is>
      </c>
      <c r="K42" s="140" t="inlineStr">
        <is>
          <t>Quarterly</t>
        </is>
      </c>
      <c r="L42" s="140" t="inlineStr">
        <is>
          <t>AI-R09, AI-R15, AI-R28</t>
        </is>
      </c>
      <c r="M42" s="140" t="inlineStr">
        <is>
          <t>None published in the OWASP Top 10 lists. The wiki's own identifier applies: AI-CTRL-038.</t>
        </is>
      </c>
      <c r="N42" s="140" t="inlineStr">
        <is>
          <t>None published in MITRE ATLAS techniques. The wiki's own identifier applies: AI-CTRL-038.</t>
        </is>
      </c>
      <c r="O42" s="140" t="inlineStr">
        <is>
          <t>None published in MITRE ATLAS mitigations. The wiki's own identifier applies: AI-CTRL-038.</t>
        </is>
      </c>
      <c r="P42" s="140" t="inlineStr">
        <is>
          <t>GOVERN 1.5; MEASURE 1.2; MEASURE 1.3; MANAGE 4.2</t>
        </is>
      </c>
      <c r="Q42" s="140" t="inlineStr">
        <is>
          <t>Clause 9.1 Monitoring, measurement, analysis and evaluation; Clause 9.2 Internal audit; Clause 9.3 Management review; Clause 10.2 Nonconformity and corrective action</t>
        </is>
      </c>
      <c r="R42" s="140" t="inlineStr">
        <is>
          <t>A.5.33 Protection of records; A.5.35 Independent review of information security; A.5.36 Compliance with policies, rules and standards for information security; Clause 9.2 Internal audit</t>
        </is>
      </c>
      <c r="S42" s="140" t="inlineStr">
        <is>
          <t>GV.OV Oversight; ID.IM Improvement</t>
        </is>
      </c>
      <c r="T42" s="140" t="inlineStr">
        <is>
          <t>None published in the CIS Controls. The wiki's own identifier applies: AI-CTRL-038.</t>
        </is>
      </c>
      <c r="U42" s="140" t="inlineStr">
        <is>
          <t>CC4.1 Ongoing and separate evaluations; CC4.2 Communication of deficiencies</t>
        </is>
      </c>
      <c r="V42" s="140" t="n">
        <v>17</v>
      </c>
    </row>
    <row r="43" ht="120" customHeight="1">
      <c r="A43" s="6" t="inlineStr">
        <is>
          <t>AI-CTRL-039</t>
        </is>
      </c>
      <c r="B43" s="6" t="inlineStr">
        <is>
          <t>Output Reliability and Content Safety</t>
        </is>
      </c>
      <c r="C43" s="6" t="inlineStr">
        <is>
          <t>Application Runtime</t>
        </is>
      </c>
      <c r="D43" s="6" t="inlineStr">
        <is>
          <t>Advanced</t>
        </is>
      </c>
      <c r="E43" s="6" t="inlineStr">
        <is>
          <t>Custom AI Applications / AI APIs / IDE AI</t>
        </is>
      </c>
      <c r="F43" s="6" t="inlineStr">
        <is>
          <t>Keep AI output grounded, within its approved scope and free of harmful content.</t>
        </is>
      </c>
      <c r="G43" s="6" t="inlineStr">
        <is>
          <t>Ground answers in approved sources and verify citations. Restrict assistants to their approved topics. Filter harmful and policy-violating output. Detect fabricated packages, links and references before users act on them, and measure factual accuracy against a baseline.</t>
        </is>
      </c>
      <c r="H43" s="6" t="inlineStr">
        <is>
          <t>Grounding and citation test results; topic policy; harmful content filter results; factuality baseline.</t>
        </is>
      </c>
      <c r="I43" s="6" t="inlineStr">
        <is>
          <t>Ask questions the sources cannot answer and confirm the assistant says so. Confirm fabricated package names and links are flagged, and off-topic requests are refused.</t>
        </is>
      </c>
      <c r="J43" s="6" t="inlineStr">
        <is>
          <t>Application Owner / AppSec</t>
        </is>
      </c>
      <c r="K43" s="6" t="inlineStr">
        <is>
          <t>Before each release and quarterly</t>
        </is>
      </c>
      <c r="L43" s="6" t="inlineStr">
        <is>
          <t>AI-R12, AI-R14, AI-R20</t>
        </is>
      </c>
      <c r="M43" s="6" t="inlineStr">
        <is>
          <t>LLM09:2025 Misinformation</t>
        </is>
      </c>
      <c r="N43" s="6" t="inlineStr">
        <is>
          <t>AML.T0062 Discover LLM Hallucinations; AML.T0060 Publish Hallucinated Entities; AML.T0048 External Harms</t>
        </is>
      </c>
      <c r="O43" s="6" t="inlineStr">
        <is>
          <t>AML.M0020 Generative AI Guardrails; AML.M0022 Generative AI Model Alignment</t>
        </is>
      </c>
      <c r="P43" s="6" t="inlineStr">
        <is>
          <t>MEASURE 2.5; MEASURE 2.6; MAP 2.2</t>
        </is>
      </c>
      <c r="Q43" s="6" t="inlineStr">
        <is>
          <t>A.6.2.4 AI system verification and validation; A.8.2 System documentation and information for users</t>
        </is>
      </c>
      <c r="R43" s="6" t="inlineStr">
        <is>
          <t>None published in ISO/IEC 27001 Annex A. The wiki's own identifier applies: AI-CTRL-039.</t>
        </is>
      </c>
      <c r="S43" s="6" t="inlineStr">
        <is>
          <t>None published in the NIST CSF categories. The wiki's own identifier applies: AI-CTRL-039.</t>
        </is>
      </c>
      <c r="T43" s="6" t="inlineStr">
        <is>
          <t>None published in the CIS Controls. The wiki's own identifier applies: AI-CTRL-039.</t>
        </is>
      </c>
      <c r="U43" s="6" t="inlineStr">
        <is>
          <t>PI1.3 Processing; PI1.4 Outputs</t>
        </is>
      </c>
      <c r="V43" s="6" t="n">
        <v>9</v>
      </c>
    </row>
    <row r="44" ht="120" customHeight="1">
      <c r="A44" s="140" t="inlineStr">
        <is>
          <t>AI-CTRL-040</t>
        </is>
      </c>
      <c r="B44" s="140" t="inlineStr">
        <is>
          <t>AI Service Resilience and Fail-Safe Operation</t>
        </is>
      </c>
      <c r="C44" s="140" t="inlineStr">
        <is>
          <t>Supply Chain, Infrastructure and Resilience</t>
        </is>
      </c>
      <c r="D44" s="140" t="inlineStr">
        <is>
          <t>Advanced</t>
        </is>
      </c>
      <c r="E44" s="140" t="inlineStr">
        <is>
          <t>AI APIs / Custom AI Applications / Agents / Vendors</t>
        </is>
      </c>
      <c r="F44" s="140" t="inlineStr">
        <is>
          <t>Keep AI services and their security controls available, and make them fail safely.</t>
        </is>
      </c>
      <c r="G44" s="140" t="inlineStr">
        <is>
          <t>Decide for each control whether it fails open or closed, and test it. Measure the latency and quality cost of controls so that teams do not remove them. Provide failover that keeps guardrails, residency and logging intact. Keep tested fallback paths for AI-dependent processes, tested backups and an exit plan for each provider. Detect silent failure of controls.</t>
        </is>
      </c>
      <c r="H44" s="140" t="inlineStr">
        <is>
          <t>Fail-mode test results; latency and load measurements; failover and restore tests; continuity and exit plans; health monitoring alerts.</t>
        </is>
      </c>
      <c r="I44" s="140" t="inlineStr">
        <is>
          <t>Disable the protection layer in the lab and confirm the documented fail mode. Fail over to the secondary model or region and confirm policy, logging and residency still hold.</t>
        </is>
      </c>
      <c r="J44" s="140" t="inlineStr">
        <is>
          <t>Platform Engineering / Application Owner</t>
        </is>
      </c>
      <c r="K44" s="140" t="inlineStr">
        <is>
          <t>Semi-annually</t>
        </is>
      </c>
      <c r="L44" s="140" t="inlineStr">
        <is>
          <t>AI-R13, AI-R16</t>
        </is>
      </c>
      <c r="M44" s="140" t="inlineStr">
        <is>
          <t>None published in the OWASP Top 10 lists. The wiki's own identifier applies: AI-CTRL-040.</t>
        </is>
      </c>
      <c r="N44" s="140" t="inlineStr">
        <is>
          <t>AML.T0029 Denial of AI Service</t>
        </is>
      </c>
      <c r="O44" s="140" t="inlineStr">
        <is>
          <t>AML.M0036 Limit AI Workload Resource Consumption</t>
        </is>
      </c>
      <c r="P44" s="140" t="inlineStr">
        <is>
          <t>MEASURE 2.7; GOVERN 6.2; MANAGE 2.3</t>
        </is>
      </c>
      <c r="Q44" s="140" t="inlineStr">
        <is>
          <t>A.6.2.6 AI system operation and monitoring; A.4.5 System and computing resources</t>
        </is>
      </c>
      <c r="R44" s="140" t="inlineStr">
        <is>
          <t>A.5.29 Information security during disruption; A.5.30 ICT readiness for business continuity; A.8.6 Capacity management; A.8.13 Information backup; A.8.14 Redundancy of information processing facilities</t>
        </is>
      </c>
      <c r="S44" s="140" t="inlineStr">
        <is>
          <t>PR.IR Technology Infrastructure Resilience; RC.RP Incident Recovery Plan Execution</t>
        </is>
      </c>
      <c r="T44" s="140" t="inlineStr">
        <is>
          <t>CIS 11 Data Recovery</t>
        </is>
      </c>
      <c r="U44" s="140" t="inlineStr">
        <is>
          <t>A1.1 Capacity; A1.2 Backup and recovery infrastructure; A1.3 Recovery plan testing; CC9.1 Risk mitigation for business disruption</t>
        </is>
      </c>
      <c r="V44" s="140" t="n">
        <v>14</v>
      </c>
    </row>
    <row r="45" ht="120" customHeight="1">
      <c r="A45" s="6" t="inlineStr">
        <is>
          <t>AI-CTRL-041</t>
        </is>
      </c>
      <c r="B45" s="6" t="inlineStr">
        <is>
          <t>Fairness, Bias Testing and Explainability</t>
        </is>
      </c>
      <c r="C45" s="6" t="inlineStr">
        <is>
          <t>Assurance and Testing</t>
        </is>
      </c>
      <c r="D45" s="6" t="inlineStr">
        <is>
          <t>Advanced</t>
        </is>
      </c>
      <c r="E45" s="6" t="inlineStr">
        <is>
          <t>Custom AI Applications / Agents / Vendors</t>
        </is>
      </c>
      <c r="F45" s="6" t="inlineStr">
        <is>
          <t>Test AI systems that make or support high-impact decisions for unfair bias, and keep explanations that a person can understand and a reviewer can challenge.</t>
        </is>
      </c>
      <c r="G45" s="6" t="inlineStr">
        <is>
          <t>Define which decisions are high-impact. Identify the relevant groups with legal input. Test for bias before release, at least annually and on material model change, and record the method, data, thresholds, results and approvals. Where sensitive data is needed for testing, record why it is necessary and the safeguards. Tell customers before an AI-powered service is provided that AI is used and what its main risks and limits are, in plain language. Give an explanation for each high-impact decision and a route to human review. Block or condition release when a threshold fails. Keep a versioned bias profile for each system that records which differences in treatment are intended and which are not, the stakeholder groups considered, how representative the test data is, the risks accepted and who accepted them, and the application boundaries within which the system was validated; monitor for drift outside them.</t>
        </is>
      </c>
      <c r="H45" s="6" t="inlineStr">
        <is>
          <t>Bias test plan and results; customer AI-use notices; threshold approvals; necessity record for sensitive data; explanation records; human-review log; retest evidence; current bias profile with its validated application boundaries.</t>
        </is>
      </c>
      <c r="I45" s="6" t="inlineStr">
        <is>
          <t>Sample high-impact use cases and confirm a current bias test exists. Re-perform one test. Trace one decision to its explanation and review outcome. Confirm a failed result led to action.</t>
        </is>
      </c>
      <c r="J45" s="6" t="inlineStr">
        <is>
          <t>AI Governance Lead / Model Risk</t>
        </is>
      </c>
      <c r="K45" s="6" t="inlineStr">
        <is>
          <t>Annually and on material model change</t>
        </is>
      </c>
      <c r="L45" s="6" t="inlineStr">
        <is>
          <t>AI-R12, AI-R14, AI-R15</t>
        </is>
      </c>
      <c r="M45" s="6" t="inlineStr">
        <is>
          <t>None published in the OWASP Top 10 lists. The wiki's own identifier applies: AI-CTRL-041.</t>
        </is>
      </c>
      <c r="N45" s="6" t="inlineStr">
        <is>
          <t>None published in MITRE ATLAS techniques. The wiki's own identifier applies: AI-CTRL-041.</t>
        </is>
      </c>
      <c r="O45" s="6" t="inlineStr">
        <is>
          <t>None published in MITRE ATLAS mitigations. The wiki's own identifier applies: AI-CTRL-041.</t>
        </is>
      </c>
      <c r="P45" s="6" t="inlineStr">
        <is>
          <t>MEASURE 2.11; MEASURE 2.9; MAP 5.1</t>
        </is>
      </c>
      <c r="Q45" s="6" t="inlineStr">
        <is>
          <t>A.5.4 Assessing AI system impact on individuals or groups of individuals; A.6.2.4 AI system verification and validation; A.8.2 System documentation and information for users; A.10.4 Customers</t>
        </is>
      </c>
      <c r="R45" s="6" t="inlineStr">
        <is>
          <t>None published in ISO/IEC 27001 Annex A. The wiki's own identifier applies: AI-CTRL-041.</t>
        </is>
      </c>
      <c r="S45" s="6" t="inlineStr">
        <is>
          <t>None published in the NIST CSF categories. The wiki's own identifier applies: AI-CTRL-041.</t>
        </is>
      </c>
      <c r="T45" s="6" t="inlineStr">
        <is>
          <t>None published in the CIS Controls. The wiki's own identifier applies: AI-CTRL-041.</t>
        </is>
      </c>
      <c r="U45" s="6" t="inlineStr">
        <is>
          <t>None published in the SOC 2 criteria. The wiki's own identifier applies: AI-CTRL-041.</t>
        </is>
      </c>
      <c r="V45" s="6" t="n">
        <v>7</v>
      </c>
    </row>
    <row r="46" ht="120" customHeight="1">
      <c r="A46" s="140" t="inlineStr">
        <is>
          <t>AI-CTRL-042</t>
        </is>
      </c>
      <c r="B46" s="140" t="inlineStr">
        <is>
          <t>Fundamental Rights and Data Protection Impact Assessment</t>
        </is>
      </c>
      <c r="C46" s="140" t="inlineStr">
        <is>
          <t>Governance and Compliance</t>
        </is>
      </c>
      <c r="D46" s="140" t="inlineStr">
        <is>
          <t>Advanced</t>
        </is>
      </c>
      <c r="E46" s="140" t="inlineStr">
        <is>
          <t>AI APIs / Custom AI Applications / Agents / Vendors</t>
        </is>
      </c>
      <c r="F46" s="140" t="inlineStr">
        <is>
          <t>Assess the impact on people's rights before deploying AI that is high-risk or that puts personal data at risk, and keep the assessment current.</t>
        </is>
      </c>
      <c r="G46" s="140" t="inlineStr">
        <is>
          <t>Run a combined data protection and fundamental rights impact assessment before go-live for in-scope systems. Record purpose, data, groups affected, risks, oversight, mitigation, consultation and decision. Include intended and reasonably foreseeable unintended uses and misuse, the deployment regions and languages, the data and its quality, and benefits as well as harms, as listed in ISO/IEC 42005:2025 clause 6. Record the data protection officer's advice and how it was handled. Reassess on material change and at least annually.</t>
        </is>
      </c>
      <c r="H46" s="140" t="inlineStr">
        <is>
          <t>Completed assessments; data protection officer advice; approvals dated before go-live; review dates; reassessment records.</t>
        </is>
      </c>
      <c r="I46" s="140" t="inlineStr">
        <is>
          <t>Sample in-scope systems and confirm the assessment predates go-live. Check that each risk maps to a mitigation. Confirm that the last material change triggered a reassessment.</t>
        </is>
      </c>
      <c r="J46" s="140" t="inlineStr">
        <is>
          <t>Data Protection Officer / AI Governance Lead</t>
        </is>
      </c>
      <c r="K46" s="140" t="inlineStr">
        <is>
          <t>Before deployment, annually and on material change</t>
        </is>
      </c>
      <c r="L46" s="140" t="inlineStr">
        <is>
          <t>AI-R10, AI-R12, AI-R28</t>
        </is>
      </c>
      <c r="M46" s="140" t="inlineStr">
        <is>
          <t>None published in the OWASP Top 10 lists. The wiki's own identifier applies: AI-CTRL-042.</t>
        </is>
      </c>
      <c r="N46" s="140" t="inlineStr">
        <is>
          <t>None published in MITRE ATLAS techniques. The wiki's own identifier applies: AI-CTRL-042.</t>
        </is>
      </c>
      <c r="O46" s="140" t="inlineStr">
        <is>
          <t>None published in MITRE ATLAS mitigations. The wiki's own identifier applies: AI-CTRL-042.</t>
        </is>
      </c>
      <c r="P46" s="140" t="inlineStr">
        <is>
          <t>MAP 5.1; MAP 1.1; GOVERN 1.1</t>
        </is>
      </c>
      <c r="Q46" s="140" t="inlineStr">
        <is>
          <t>A.5.2 AI system impact assessment process; A.5.3 Documentation of AI system impact assessments; A.5.4 Assessing AI system impact on individuals or groups of individuals; A.5.5 Assessing societal impacts of AI systems</t>
        </is>
      </c>
      <c r="R46" s="140" t="inlineStr">
        <is>
          <t>A.5.8 Information security in project management; A.5.31 Legal, statutory, regulatory and contractual requirements; A.5.34 Privacy and protection of PII</t>
        </is>
      </c>
      <c r="S46" s="140" t="inlineStr">
        <is>
          <t>GV.OC Organizational Context; ID.RA Risk Assessment</t>
        </is>
      </c>
      <c r="T46" s="140" t="inlineStr">
        <is>
          <t>None published in the CIS Controls. The wiki's own identifier applies: AI-CTRL-042.</t>
        </is>
      </c>
      <c r="U46" s="140" t="inlineStr">
        <is>
          <t>CC3.2 Risk identification and analysis</t>
        </is>
      </c>
      <c r="V46" s="140" t="n">
        <v>4</v>
      </c>
    </row>
    <row r="47" ht="120" customHeight="1">
      <c r="A47" s="6" t="inlineStr">
        <is>
          <t>AI-CTRL-043</t>
        </is>
      </c>
      <c r="B47" s="6" t="inlineStr">
        <is>
          <t>Regulator and Authority Engagement</t>
        </is>
      </c>
      <c r="C47" s="6" t="inlineStr">
        <is>
          <t>Governance and Compliance</t>
        </is>
      </c>
      <c r="D47" s="6" t="inlineStr">
        <is>
          <t>Advanced</t>
        </is>
      </c>
      <c r="E47" s="6" t="inlineStr">
        <is>
          <t>Browser AI / IDE AI / AI APIs / Custom AI Applications / Agents / Vendors</t>
        </is>
      </c>
      <c r="F47" s="6" t="inlineStr">
        <is>
          <t>Know which authorities oversee each AI system, meet the registration, filing and notification duties they set, and keep a record of every contact.</t>
        </is>
      </c>
      <c r="G47" s="6" t="inlineStr">
        <is>
          <t>Keep a register of the authorities and ethics bodies relevant to each AI system and jurisdiction, with the duties each one sets and an owner for each duty. Track filings, registrations and local representative appointments to their due dates. Log every contact and its outcome. Watch for new guidance and pending rules, and review the register on a schedule. Keep contact with AI security interest groups and information-sharing communities, and record what is shared with them.</t>
        </is>
      </c>
      <c r="H47" s="6" t="inlineStr">
        <is>
          <t>Authority register; filing and registration records; representative appointments; contact log; watchlist of pending rules.</t>
        </is>
      </c>
      <c r="I47" s="6" t="inlineStr">
        <is>
          <t>Sample AI systems and confirm each lists its authorities and duties. Trace one filing or notification to its due date and evidence. Confirm the register was reviewed in the period.</t>
        </is>
      </c>
      <c r="J47" s="6" t="inlineStr">
        <is>
          <t>Legal / Compliance</t>
        </is>
      </c>
      <c r="K47" s="6" t="inlineStr">
        <is>
          <t>Quarterly</t>
        </is>
      </c>
      <c r="L47" s="6" t="inlineStr">
        <is>
          <t>AI-R09, AI-R10</t>
        </is>
      </c>
      <c r="M47" s="6" t="inlineStr">
        <is>
          <t>None published in the OWASP Top 10 lists. The wiki's own identifier applies: AI-CTRL-043.</t>
        </is>
      </c>
      <c r="N47" s="6" t="inlineStr">
        <is>
          <t>None published in MITRE ATLAS techniques. The wiki's own identifier applies: AI-CTRL-043.</t>
        </is>
      </c>
      <c r="O47" s="6" t="inlineStr">
        <is>
          <t>None published in MITRE ATLAS mitigations. The wiki's own identifier applies: AI-CTRL-043.</t>
        </is>
      </c>
      <c r="P47" s="6" t="inlineStr">
        <is>
          <t>GOVERN 1.1; GOVERN 5.1</t>
        </is>
      </c>
      <c r="Q47" s="6" t="inlineStr">
        <is>
          <t>Clause 4.2 Understanding the needs and expectations of interested parties; A.8.3 External reporting; A.8.5 Information for interested parties</t>
        </is>
      </c>
      <c r="R47" s="6" t="inlineStr">
        <is>
          <t>A.5.5 Contact with authorities; A.5.31 Legal, statutory, regulatory and contractual requirements; A.5.6 Contact with special interest groups</t>
        </is>
      </c>
      <c r="S47" s="6" t="inlineStr">
        <is>
          <t>GV.OC Organizational Context; RS.CO Incident Response Reporting and Communication</t>
        </is>
      </c>
      <c r="T47" s="6" t="inlineStr">
        <is>
          <t>CIS 17 Incident Response Management</t>
        </is>
      </c>
      <c r="U47" s="6" t="inlineStr">
        <is>
          <t>CC2.3 External communication</t>
        </is>
      </c>
      <c r="V47" s="6" t="n">
        <v>4</v>
      </c>
    </row>
    <row r="48" ht="120" customHeight="1">
      <c r="A48" s="140" t="inlineStr">
        <is>
          <t>AI-CTRL-044</t>
        </is>
      </c>
      <c r="B48" s="140" t="inlineStr">
        <is>
          <t>AI Literacy and Role-Based Competence</t>
        </is>
      </c>
      <c r="C48" s="140" t="inlineStr">
        <is>
          <t>Governance and Compliance</t>
        </is>
      </c>
      <c r="D48" s="140" t="inlineStr">
        <is>
          <t>Advanced</t>
        </is>
      </c>
      <c r="E48" s="140" t="inlineStr">
        <is>
          <t>Browser AI / IDE AI / AI APIs / Custom AI Applications / Agents</t>
        </is>
      </c>
      <c r="F48" s="140" t="inlineStr">
        <is>
          <t>Give everyone who builds, operates, oversees or uses AI the knowledge their role needs, and keep the records that show it.</t>
        </is>
      </c>
      <c r="G48" s="140" t="inlineStr">
        <is>
          <t>Define the knowledge each role group needs, from board members to human reviewers and contractors. Deliver role-based training on a schedule and when a role or a system changes. Record completion and results. Check that the training works, for example through scenario tests and reviewer override rates.</t>
        </is>
      </c>
      <c r="H48" s="140" t="inlineStr">
        <is>
          <t>Role and needs matrix; programme and modules; completion records; effectiveness checks.</t>
        </is>
      </c>
      <c r="I48" s="140" t="inlineStr">
        <is>
          <t>Sample staff in three role groups and confirm each completed training that matches the role. Confirm human reviewers were trained before they were assigned. Review one effectiveness check.</t>
        </is>
      </c>
      <c r="J48" s="140" t="inlineStr">
        <is>
          <t>AI Governance Lead / HR</t>
        </is>
      </c>
      <c r="K48" s="140" t="inlineStr">
        <is>
          <t>Annually and on role change</t>
        </is>
      </c>
      <c r="L48" s="140" t="inlineStr">
        <is>
          <t>AI-R02, AI-R19</t>
        </is>
      </c>
      <c r="M48" s="140" t="inlineStr">
        <is>
          <t>None published in the OWASP Top 10 lists. The wiki's own identifier applies: AI-CTRL-044.</t>
        </is>
      </c>
      <c r="N48" s="140" t="inlineStr">
        <is>
          <t>None published in MITRE ATLAS techniques. The wiki's own identifier applies: AI-CTRL-044.</t>
        </is>
      </c>
      <c r="O48" s="140" t="inlineStr">
        <is>
          <t>None published in MITRE ATLAS mitigations. The wiki's own identifier applies: AI-CTRL-044.</t>
        </is>
      </c>
      <c r="P48" s="140" t="inlineStr">
        <is>
          <t>GOVERN 2.2; MAP 3.4</t>
        </is>
      </c>
      <c r="Q48" s="140" t="inlineStr">
        <is>
          <t>Clause 7.2 Competence; Clause 7.3 Awareness; A.4.6 Human resources</t>
        </is>
      </c>
      <c r="R48" s="140" t="inlineStr">
        <is>
          <t>A.6.3 Information security awareness, education and training</t>
        </is>
      </c>
      <c r="S48" s="140" t="inlineStr">
        <is>
          <t>PR.AT Awareness and Training</t>
        </is>
      </c>
      <c r="T48" s="140" t="inlineStr">
        <is>
          <t>CIS 14 Security Awareness and Skills Training</t>
        </is>
      </c>
      <c r="U48" s="140" t="inlineStr">
        <is>
          <t>CC1.4 Competence; CC2.2 Internal communication</t>
        </is>
      </c>
      <c r="V48" s="140" t="n">
        <v>3</v>
      </c>
    </row>
    <row r="49" ht="120" customHeight="1">
      <c r="A49" s="6" t="inlineStr">
        <is>
          <t>AI-CTRL-045</t>
        </is>
      </c>
      <c r="B49" s="6" t="inlineStr">
        <is>
          <t>Human Oversight Design and Effectiveness</t>
        </is>
      </c>
      <c r="C49" s="6" t="inlineStr">
        <is>
          <t>Governance and Compliance</t>
        </is>
      </c>
      <c r="D49" s="6" t="inlineStr">
        <is>
          <t>Advanced</t>
        </is>
      </c>
      <c r="E49" s="6" t="inlineStr">
        <is>
          <t>Custom AI Applications / Agents / Vendors</t>
        </is>
      </c>
      <c r="F49" s="6" t="inlineStr">
        <is>
          <t>Design human review so the people named as overseers can understand, challenge, override and stop an AI system, and show with measures that they do.</t>
        </is>
      </c>
      <c r="G49" s="6" t="inlineStr">
        <is>
          <t>Set, by risk tier, where a person must review, approve or be able to intervene: before the output is used, while the system runs, and after the fact by sampling. Give each overseer the evidence behind the output (sources, confidence, alternatives) and not only the result, the authority and time to override, and training that matches the role (AI-CTRL-044). Keep the volume per reviewer low enough to be reviewed, and give overseers a way to stop or roll back the system (AI-CTRL-025). Measure effectiveness: override and escalation rates, time per review, results of independent re-review of a sample, and detection of seeded errors. Reassess the design when the measures show rubber-stamping. This control covers oversight of AI-assisted decisions in general; AI-CTRL-023 gates specific irreversible agent actions. Before an agent may act without per-action approval (a person over the loop rather than in it), record and approve: why per-action approval is not workable, the responsible person and why they are suited, which actions run without approval, the minimum privileges, how output is validated, how actions are logged and how often logs are reviewed, how the agent is disabled and on what triggers, and how its actions are reversed. Keep per-action approval for any action involving cleartext payment card data.</t>
        </is>
      </c>
      <c r="H49" s="6" t="inlineStr">
        <is>
          <t>Oversight design record per in-scope use case; overseer roles, authority and training records; sampled re-review results; override and escalation metrics; seeded-error test results.</t>
        </is>
      </c>
      <c r="I49" s="6" t="inlineStr">
        <is>
          <t>Select a high-tier use case and compare the oversight points in operation with the design record. Interview two overseers about the evidence they see and their authority to override. Submit a set of known-wrong outputs and measure how many are caught. Confirm the overseers can stop the system and that override metrics are reviewed.</t>
        </is>
      </c>
      <c r="J49" s="6" t="inlineStr">
        <is>
          <t>AI Governance Lead / Application Owner</t>
        </is>
      </c>
      <c r="K49" s="6" t="inlineStr">
        <is>
          <t>Semi-annually and on material change</t>
        </is>
      </c>
      <c r="L49" s="6" t="inlineStr">
        <is>
          <t>AI-R07, AI-R12, AI-R14, AI-R18, AI-R19, AI-R28</t>
        </is>
      </c>
      <c r="M49" s="6" t="inlineStr">
        <is>
          <t>LLM06:2025 Excessive Agency; ASI09 Human-Agent Trust Exploitation</t>
        </is>
      </c>
      <c r="N49" s="6" t="inlineStr">
        <is>
          <t>None published in MITRE ATLAS techniques. The wiki's own identifier applies: AI-CTRL-045.</t>
        </is>
      </c>
      <c r="O49" s="6" t="inlineStr">
        <is>
          <t>AML.M0029 Human In-the-Loop for AI Agent Actions</t>
        </is>
      </c>
      <c r="P49" s="6" t="inlineStr">
        <is>
          <t>MAP 3.5; GOVERN 3.2</t>
        </is>
      </c>
      <c r="Q49" s="6" t="inlineStr">
        <is>
          <t>A.9.2 Processes for responsible use of AI systems; A.9.3 Objectives for responsible use of AI system</t>
        </is>
      </c>
      <c r="R49" s="6" t="inlineStr">
        <is>
          <t>None published in ISO/IEC 27001 Annex A. The wiki's own identifier applies: AI-CTRL-045.</t>
        </is>
      </c>
      <c r="S49" s="6" t="inlineStr">
        <is>
          <t>GV.RR Roles, Responsibilities, and Authorities</t>
        </is>
      </c>
      <c r="T49" s="6" t="inlineStr">
        <is>
          <t>None published in the CIS Controls. The wiki's own identifier applies: AI-CTRL-045.</t>
        </is>
      </c>
      <c r="U49" s="6" t="inlineStr">
        <is>
          <t>None published in the SOC 2 criteria. The wiki's own identifier applies: AI-CTRL-045.</t>
        </is>
      </c>
      <c r="V49" s="6" t="n">
        <v>4</v>
      </c>
    </row>
    <row r="50" ht="120" customHeight="1">
      <c r="A50" s="140" t="inlineStr">
        <is>
          <t>AI-CTRL-046</t>
        </is>
      </c>
      <c r="B50" s="140" t="inlineStr">
        <is>
          <t>Intellectual Property and Copyright Governance</t>
        </is>
      </c>
      <c r="C50" s="140" t="inlineStr">
        <is>
          <t>Governance and Compliance</t>
        </is>
      </c>
      <c r="D50" s="140" t="inlineStr">
        <is>
          <t>Advanced</t>
        </is>
      </c>
      <c r="E50" s="140" t="inlineStr">
        <is>
          <t>Browser AI / IDE AI / AI APIs / Custom AI Applications / Vendors</t>
        </is>
      </c>
      <c r="F50" s="140" t="inlineStr">
        <is>
          <t>Control the intellectual property and copyright exposure of AI inputs, outputs and training data.</t>
        </is>
      </c>
      <c r="G50" s="140" t="inlineStr">
        <is>
          <t>Set a policy on what third-party copyrighted or licensed material staff may submit to AI tools, and on how AI output may be used in products, code and publications. Review vendor terms for ownership of output, indemnity for infringement claims and use of inputs for training. Record the source and licence of training and fine-tuning data (AI-CTRL-029). Where policy requires, scan AI-generated code and content for licence and similarity matches before release. Record exceptions with an owner and an expiry date.</t>
        </is>
      </c>
      <c r="H50" s="140" t="inlineStr">
        <is>
          <t>IP and acceptable-use policy; vendor terms review; training data provenance and licence records; scan results; exception log.</t>
        </is>
      </c>
      <c r="I50" s="140" t="inlineStr">
        <is>
          <t>Sample vendors and confirm the terms were reviewed for output ownership and indemnity. Sample released AI-generated artefacts and confirm a scan result or a documented exception. Sample fine-tuning datasets and confirm source and licence are recorded.</t>
        </is>
      </c>
      <c r="J50" s="140" t="inlineStr">
        <is>
          <t>Legal / Compliance</t>
        </is>
      </c>
      <c r="K50" s="140" t="inlineStr">
        <is>
          <t>Annually and when vendor terms change</t>
        </is>
      </c>
      <c r="L50" s="140" t="inlineStr">
        <is>
          <t>AI-R27</t>
        </is>
      </c>
      <c r="M50" s="140" t="inlineStr">
        <is>
          <t>None published in the OWASP Top 10 lists. The wiki's own identifier applies: AI-CTRL-046.</t>
        </is>
      </c>
      <c r="N50" s="140" t="inlineStr">
        <is>
          <t>None published in MITRE ATLAS techniques. The wiki's own identifier applies: AI-CTRL-046.</t>
        </is>
      </c>
      <c r="O50" s="140" t="inlineStr">
        <is>
          <t>None published in MITRE ATLAS mitigations. The wiki's own identifier applies: AI-CTRL-046.</t>
        </is>
      </c>
      <c r="P50" s="140" t="inlineStr">
        <is>
          <t>MAP 4.1</t>
        </is>
      </c>
      <c r="Q50" s="140" t="inlineStr">
        <is>
          <t>A.7.5 Data provenance; A.10.3 Suppliers</t>
        </is>
      </c>
      <c r="R50" s="140" t="inlineStr">
        <is>
          <t>A.5.20 Addressing information security within supplier agreements; A.5.31 Legal, statutory, regulatory and contractual requirements; A.5.32 Intellectual property rights</t>
        </is>
      </c>
      <c r="S50" s="140" t="inlineStr">
        <is>
          <t>GV.OC Organizational Context</t>
        </is>
      </c>
      <c r="T50" s="140" t="inlineStr">
        <is>
          <t>None published in the CIS Controls. The wiki's own identifier applies: AI-CTRL-046.</t>
        </is>
      </c>
      <c r="U50" s="140" t="inlineStr">
        <is>
          <t>None published in the SOC 2 criteria. The wiki's own identifier applies: AI-CTRL-046.</t>
        </is>
      </c>
      <c r="V50" s="140" t="n">
        <v>4</v>
      </c>
    </row>
  </sheetData>
  <autoFilter ref="A4:V50"/>
  <pageMargins left="0.75" right="0.75" top="1" bottom="1" header="0.5" footer="0.5"/>
</worksheet>
</file>

<file path=xl/worksheets/sheet11.xml><?xml version="1.0" encoding="utf-8"?>
<worksheet xmlns="http://schemas.openxmlformats.org/spreadsheetml/2006/main">
  <sheetPr>
    <tabColor rgb="003A3A8C"/>
    <outlinePr summaryBelow="1" summaryRight="1"/>
    <pageSetUpPr/>
  </sheetPr>
  <dimension ref="A1:BA62"/>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s>
  <sheetData>
    <row r="1" ht="30" customHeight="1">
      <c r="A1" s="141" t="inlineStr">
        <is>
          <t>Framework matrix: each register risk against every framework in the wiki</t>
        </is>
      </c>
      <c r="B1" s="142" t="n"/>
      <c r="C1" s="142" t="n"/>
      <c r="D1" s="142" t="n"/>
      <c r="E1" s="142" t="n"/>
      <c r="F1" s="142" t="n"/>
      <c r="G1" s="142" t="n"/>
      <c r="H1" s="142" t="n"/>
      <c r="I1" s="142" t="n"/>
      <c r="J1" s="142" t="n"/>
      <c r="K1" s="142" t="n"/>
      <c r="L1" s="142" t="n"/>
      <c r="M1" s="142" t="n"/>
      <c r="N1" s="142" t="n"/>
      <c r="O1" s="142" t="n"/>
      <c r="P1" s="142" t="n"/>
      <c r="Q1" s="142" t="n"/>
      <c r="R1" s="142" t="n"/>
      <c r="S1" s="142" t="n"/>
      <c r="T1" s="142" t="n"/>
      <c r="U1" s="142" t="n"/>
      <c r="V1" s="142" t="n"/>
      <c r="W1" s="142" t="n"/>
      <c r="X1" s="142" t="n"/>
      <c r="Y1" s="142" t="n"/>
      <c r="Z1" s="142" t="n"/>
      <c r="AA1" s="142" t="n"/>
      <c r="AB1" s="142" t="n"/>
      <c r="AC1" s="142" t="n"/>
      <c r="AD1" s="142" t="n"/>
      <c r="AE1" s="142" t="n"/>
      <c r="AF1" s="142" t="n"/>
      <c r="AG1" s="142" t="n"/>
      <c r="AH1" s="142" t="n"/>
      <c r="AI1" s="142" t="n"/>
      <c r="AJ1" s="142" t="n"/>
      <c r="AK1" s="142" t="n"/>
      <c r="AL1" s="142" t="n"/>
      <c r="AM1" s="142" t="n"/>
      <c r="AN1" s="142" t="n"/>
      <c r="AO1" s="142" t="n"/>
      <c r="AP1" s="142" t="n"/>
      <c r="AQ1" s="142" t="n"/>
      <c r="AR1" s="142" t="n"/>
      <c r="AS1" s="142" t="n"/>
      <c r="AT1" s="142" t="n"/>
      <c r="AU1" s="142" t="n"/>
      <c r="AV1" s="142" t="n"/>
      <c r="AW1" s="142" t="n"/>
      <c r="AX1" s="142" t="n"/>
      <c r="AY1" s="142" t="n"/>
      <c r="AZ1" s="142" t="n"/>
      <c r="BA1" s="142" t="n"/>
    </row>
    <row r="2">
      <c r="A2" s="3" t="inlineStr">
        <is>
          <t>Cells list the framework items linked to the risk. Row 4 says how: "direct" where the wiki crosswalk names risks, "via controls" where it names controls (then the risks those controls treat).</t>
        </is>
      </c>
    </row>
    <row r="3">
      <c r="A3" s="47" t="inlineStr">
        <is>
          <t>Category</t>
        </is>
      </c>
      <c r="B3" s="81" t="inlineStr"/>
      <c r="C3" s="143" t="inlineStr">
        <is>
          <t>Risk frameworks</t>
        </is>
      </c>
      <c r="D3" s="143" t="inlineStr">
        <is>
          <t>Risk frameworks</t>
        </is>
      </c>
      <c r="E3" s="143" t="inlineStr">
        <is>
          <t>Risk frameworks</t>
        </is>
      </c>
      <c r="F3" s="143" t="inlineStr">
        <is>
          <t>Risk frameworks</t>
        </is>
      </c>
      <c r="G3" s="143" t="inlineStr">
        <is>
          <t>Risk frameworks</t>
        </is>
      </c>
      <c r="H3" s="143" t="inlineStr">
        <is>
          <t>Risk frameworks</t>
        </is>
      </c>
      <c r="I3" s="144" t="inlineStr">
        <is>
          <t>AI security</t>
        </is>
      </c>
      <c r="J3" s="144" t="inlineStr">
        <is>
          <t>AI security</t>
        </is>
      </c>
      <c r="K3" s="144" t="inlineStr">
        <is>
          <t>AI security</t>
        </is>
      </c>
      <c r="L3" s="144" t="inlineStr">
        <is>
          <t>AI security</t>
        </is>
      </c>
      <c r="M3" s="144" t="inlineStr">
        <is>
          <t>AI security</t>
        </is>
      </c>
      <c r="N3" s="144" t="inlineStr">
        <is>
          <t>AI security</t>
        </is>
      </c>
      <c r="O3" s="145" t="inlineStr">
        <is>
          <t>ISO/IEC standards</t>
        </is>
      </c>
      <c r="P3" s="145" t="inlineStr">
        <is>
          <t>ISO/IEC standards</t>
        </is>
      </c>
      <c r="Q3" s="145" t="inlineStr">
        <is>
          <t>ISO/IEC standards</t>
        </is>
      </c>
      <c r="R3" s="145" t="inlineStr">
        <is>
          <t>ISO/IEC standards</t>
        </is>
      </c>
      <c r="S3" s="145" t="inlineStr">
        <is>
          <t>ISO/IEC standards</t>
        </is>
      </c>
      <c r="T3" s="145" t="inlineStr">
        <is>
          <t>ISO/IEC standards</t>
        </is>
      </c>
      <c r="U3" s="145" t="inlineStr">
        <is>
          <t>ISO/IEC standards</t>
        </is>
      </c>
      <c r="V3" s="145" t="inlineStr">
        <is>
          <t>ISO/IEC standards</t>
        </is>
      </c>
      <c r="W3" s="145" t="inlineStr">
        <is>
          <t>ISO/IEC standards</t>
        </is>
      </c>
      <c r="X3" s="145" t="inlineStr">
        <is>
          <t>ISO/IEC standards</t>
        </is>
      </c>
      <c r="Y3" s="145" t="inlineStr">
        <is>
          <t>ISO/IEC standards</t>
        </is>
      </c>
      <c r="Z3" s="145" t="inlineStr">
        <is>
          <t>ISO/IEC standards</t>
        </is>
      </c>
      <c r="AA3" s="145" t="inlineStr">
        <is>
          <t>ISO/IEC standards</t>
        </is>
      </c>
      <c r="AB3" s="146" t="inlineStr">
        <is>
          <t>Security baselines</t>
        </is>
      </c>
      <c r="AC3" s="146" t="inlineStr">
        <is>
          <t>Security baselines</t>
        </is>
      </c>
      <c r="AD3" s="146" t="inlineStr">
        <is>
          <t>Security baselines</t>
        </is>
      </c>
      <c r="AE3" s="146" t="inlineStr">
        <is>
          <t>Security baselines</t>
        </is>
      </c>
      <c r="AF3" s="146" t="inlineStr">
        <is>
          <t>Security baselines</t>
        </is>
      </c>
      <c r="AG3" s="146" t="inlineStr">
        <is>
          <t>Security baselines</t>
        </is>
      </c>
      <c r="AH3" s="147" t="inlineStr">
        <is>
          <t>Ethics and principles</t>
        </is>
      </c>
      <c r="AI3" s="147" t="inlineStr">
        <is>
          <t>Ethics and principles</t>
        </is>
      </c>
      <c r="AJ3" s="147" t="inlineStr">
        <is>
          <t>Ethics and principles</t>
        </is>
      </c>
      <c r="AK3" s="147" t="inlineStr">
        <is>
          <t>Ethics and principles</t>
        </is>
      </c>
      <c r="AL3" s="148" t="inlineStr">
        <is>
          <t>International instruments</t>
        </is>
      </c>
      <c r="AM3" s="148" t="inlineStr">
        <is>
          <t>International instruments</t>
        </is>
      </c>
      <c r="AN3" s="149" t="inlineStr">
        <is>
          <t>Privacy and regulation</t>
        </is>
      </c>
      <c r="AO3" s="149" t="inlineStr">
        <is>
          <t>Privacy and regulation</t>
        </is>
      </c>
      <c r="AP3" s="149" t="inlineStr">
        <is>
          <t>Privacy and regulation</t>
        </is>
      </c>
      <c r="AQ3" s="149" t="inlineStr">
        <is>
          <t>Privacy and regulation</t>
        </is>
      </c>
      <c r="AR3" s="149" t="inlineStr">
        <is>
          <t>Privacy and regulation</t>
        </is>
      </c>
      <c r="AS3" s="149" t="inlineStr">
        <is>
          <t>Privacy and regulation</t>
        </is>
      </c>
      <c r="AT3" s="149" t="inlineStr">
        <is>
          <t>Privacy and regulation</t>
        </is>
      </c>
      <c r="AU3" s="149" t="inlineStr">
        <is>
          <t>Privacy and regulation</t>
        </is>
      </c>
      <c r="AV3" s="149" t="inlineStr">
        <is>
          <t>Privacy and regulation</t>
        </is>
      </c>
      <c r="AW3" s="149" t="inlineStr">
        <is>
          <t>Privacy and regulation</t>
        </is>
      </c>
      <c r="AX3" s="149" t="inlineStr">
        <is>
          <t>Privacy and regulation</t>
        </is>
      </c>
      <c r="AY3" s="149" t="inlineStr">
        <is>
          <t>Privacy and regulation</t>
        </is>
      </c>
      <c r="AZ3" s="149" t="inlineStr">
        <is>
          <t>Privacy and regulation</t>
        </is>
      </c>
      <c r="BA3" s="149" t="inlineStr">
        <is>
          <t>Privacy and regulation</t>
        </is>
      </c>
    </row>
    <row r="4">
      <c r="A4" s="47" t="inlineStr">
        <is>
          <t>Basis</t>
        </is>
      </c>
      <c r="B4" s="81" t="inlineStr"/>
      <c r="C4" s="21" t="inlineStr">
        <is>
          <t>direct</t>
        </is>
      </c>
      <c r="D4" s="21" t="inlineStr">
        <is>
          <t>via controls</t>
        </is>
      </c>
      <c r="E4" s="21" t="inlineStr">
        <is>
          <t>direct</t>
        </is>
      </c>
      <c r="F4" s="21" t="inlineStr">
        <is>
          <t>via controls</t>
        </is>
      </c>
      <c r="G4" s="21" t="inlineStr">
        <is>
          <t>direct</t>
        </is>
      </c>
      <c r="H4" s="21" t="inlineStr">
        <is>
          <t>via controls</t>
        </is>
      </c>
      <c r="I4" s="21" t="inlineStr">
        <is>
          <t>via controls</t>
        </is>
      </c>
      <c r="J4" s="21" t="inlineStr">
        <is>
          <t>via controls</t>
        </is>
      </c>
      <c r="K4" s="21" t="inlineStr">
        <is>
          <t>direct</t>
        </is>
      </c>
      <c r="L4" s="21" t="inlineStr">
        <is>
          <t>via controls</t>
        </is>
      </c>
      <c r="M4" s="21" t="inlineStr">
        <is>
          <t>via controls</t>
        </is>
      </c>
      <c r="N4" s="21" t="inlineStr">
        <is>
          <t>via controls</t>
        </is>
      </c>
      <c r="O4" s="21" t="inlineStr">
        <is>
          <t>via controls</t>
        </is>
      </c>
      <c r="P4" s="21" t="inlineStr">
        <is>
          <t>via controls</t>
        </is>
      </c>
      <c r="Q4" s="21" t="inlineStr">
        <is>
          <t>via controls</t>
        </is>
      </c>
      <c r="R4" s="21" t="inlineStr">
        <is>
          <t>via controls</t>
        </is>
      </c>
      <c r="S4" s="21" t="inlineStr">
        <is>
          <t>via controls</t>
        </is>
      </c>
      <c r="T4" s="21" t="inlineStr">
        <is>
          <t>via controls</t>
        </is>
      </c>
      <c r="U4" s="21" t="inlineStr">
        <is>
          <t>via controls</t>
        </is>
      </c>
      <c r="V4" s="21" t="inlineStr">
        <is>
          <t>via controls</t>
        </is>
      </c>
      <c r="W4" s="21" t="inlineStr">
        <is>
          <t>via controls</t>
        </is>
      </c>
      <c r="X4" s="21" t="inlineStr">
        <is>
          <t>via controls</t>
        </is>
      </c>
      <c r="Y4" s="21" t="inlineStr">
        <is>
          <t>via controls</t>
        </is>
      </c>
      <c r="Z4" s="21" t="inlineStr">
        <is>
          <t>via controls</t>
        </is>
      </c>
      <c r="AA4" s="21" t="inlineStr">
        <is>
          <t>via controls</t>
        </is>
      </c>
      <c r="AB4" s="21" t="inlineStr">
        <is>
          <t>via controls</t>
        </is>
      </c>
      <c r="AC4" s="21" t="inlineStr">
        <is>
          <t>via controls</t>
        </is>
      </c>
      <c r="AD4" s="21" t="inlineStr">
        <is>
          <t>via controls</t>
        </is>
      </c>
      <c r="AE4" s="21" t="inlineStr">
        <is>
          <t>via controls</t>
        </is>
      </c>
      <c r="AF4" s="21" t="inlineStr">
        <is>
          <t>mixed</t>
        </is>
      </c>
      <c r="AG4" s="21" t="inlineStr">
        <is>
          <t>mixed</t>
        </is>
      </c>
      <c r="AH4" s="21" t="inlineStr">
        <is>
          <t>via controls</t>
        </is>
      </c>
      <c r="AI4" s="21" t="inlineStr">
        <is>
          <t>via controls</t>
        </is>
      </c>
      <c r="AJ4" s="21" t="inlineStr">
        <is>
          <t>via controls</t>
        </is>
      </c>
      <c r="AK4" s="21" t="inlineStr">
        <is>
          <t>via controls</t>
        </is>
      </c>
      <c r="AL4" s="21" t="inlineStr">
        <is>
          <t>via controls</t>
        </is>
      </c>
      <c r="AM4" s="21" t="inlineStr">
        <is>
          <t>via controls</t>
        </is>
      </c>
      <c r="AN4" s="21" t="inlineStr">
        <is>
          <t>via controls</t>
        </is>
      </c>
      <c r="AO4" s="21" t="inlineStr">
        <is>
          <t>via controls</t>
        </is>
      </c>
      <c r="AP4" s="21" t="inlineStr">
        <is>
          <t>via controls</t>
        </is>
      </c>
      <c r="AQ4" s="21" t="inlineStr">
        <is>
          <t>via controls</t>
        </is>
      </c>
      <c r="AR4" s="21" t="inlineStr">
        <is>
          <t>via controls</t>
        </is>
      </c>
      <c r="AS4" s="21" t="inlineStr">
        <is>
          <t>via controls</t>
        </is>
      </c>
      <c r="AT4" s="21" t="inlineStr">
        <is>
          <t>via controls</t>
        </is>
      </c>
      <c r="AU4" s="21" t="inlineStr">
        <is>
          <t>via controls</t>
        </is>
      </c>
      <c r="AV4" s="21" t="inlineStr">
        <is>
          <t>via controls</t>
        </is>
      </c>
      <c r="AW4" s="21" t="inlineStr">
        <is>
          <t>via controls</t>
        </is>
      </c>
      <c r="AX4" s="21" t="inlineStr">
        <is>
          <t>via controls</t>
        </is>
      </c>
      <c r="AY4" s="21" t="inlineStr">
        <is>
          <t>via controls</t>
        </is>
      </c>
      <c r="AZ4" s="21" t="inlineStr">
        <is>
          <t>via controls</t>
        </is>
      </c>
      <c r="BA4" s="21" t="inlineStr">
        <is>
          <t>via controls</t>
        </is>
      </c>
    </row>
    <row r="5">
      <c r="A5" s="150" t="inlineStr">
        <is>
          <t>Risk ID</t>
        </is>
      </c>
      <c r="B5" s="150" t="inlineStr">
        <is>
          <t>Risk Title</t>
        </is>
      </c>
      <c r="C5" s="74" t="inlineStr">
        <is>
          <t>FINOS AIGF risks</t>
        </is>
      </c>
      <c r="D5" s="74" t="inlineStr">
        <is>
          <t>FINOS AIGF mitigations</t>
        </is>
      </c>
      <c r="E5" s="74" t="inlineStr">
        <is>
          <t>AI Risk Map v1.3</t>
        </is>
      </c>
      <c r="F5" s="74" t="inlineStr">
        <is>
          <t>NIST AI RMF 1.0</t>
        </is>
      </c>
      <c r="G5" s="74" t="inlineStr">
        <is>
          <t>NIST AI 600-1 GenAI Profile</t>
        </is>
      </c>
      <c r="H5" s="74" t="inlineStr">
        <is>
          <t>AI BCF</t>
        </is>
      </c>
      <c r="I5" s="151" t="inlineStr">
        <is>
          <t>OWASP LLM Top 10 (2025)</t>
        </is>
      </c>
      <c r="J5" s="151" t="inlineStr">
        <is>
          <t>OWASP Agentic Top 10</t>
        </is>
      </c>
      <c r="K5" s="151" t="inlineStr">
        <is>
          <t>OWASP MCP Top 10</t>
        </is>
      </c>
      <c r="L5" s="151" t="inlineStr">
        <is>
          <t>MITRE ATLAS techniques</t>
        </is>
      </c>
      <c r="M5" s="151" t="inlineStr">
        <is>
          <t>MITRE ATLAS mitigations</t>
        </is>
      </c>
      <c r="N5" s="151" t="inlineStr">
        <is>
          <t>NIST AI 100-2 (adversarial ML)</t>
        </is>
      </c>
      <c r="O5" s="152" t="inlineStr">
        <is>
          <t>ISO/IEC 42001 Annex A</t>
        </is>
      </c>
      <c r="P5" s="152" t="inlineStr">
        <is>
          <t>ISO/IEC 42001 clauses</t>
        </is>
      </c>
      <c r="Q5" s="152" t="inlineStr">
        <is>
          <t>ISO/IEC 27001:2022 Annex A</t>
        </is>
      </c>
      <c r="R5" s="152" t="inlineStr">
        <is>
          <t>ISO/IEC 27001 clauses</t>
        </is>
      </c>
      <c r="S5" s="152" t="inlineStr">
        <is>
          <t>ISO/IEC 23894</t>
        </is>
      </c>
      <c r="T5" s="152" t="inlineStr">
        <is>
          <t>ISO/IEC 42005</t>
        </is>
      </c>
      <c r="U5" s="152" t="inlineStr">
        <is>
          <t>ISO/IEC 42006</t>
        </is>
      </c>
      <c r="V5" s="152" t="inlineStr">
        <is>
          <t>ISO/IEC 38507</t>
        </is>
      </c>
      <c r="W5" s="152" t="inlineStr">
        <is>
          <t>ISO/IEC TR 24028</t>
        </is>
      </c>
      <c r="X5" s="152" t="inlineStr">
        <is>
          <t>ISO/IEC 5338</t>
        </is>
      </c>
      <c r="Y5" s="152" t="inlineStr">
        <is>
          <t>ISO/IEC 23053</t>
        </is>
      </c>
      <c r="Z5" s="152" t="inlineStr">
        <is>
          <t>ISO/IEC 22989</t>
        </is>
      </c>
      <c r="AA5" s="152" t="inlineStr">
        <is>
          <t>ISO/IEC 5259</t>
        </is>
      </c>
      <c r="AB5" s="139" t="inlineStr">
        <is>
          <t>NIST CSF</t>
        </is>
      </c>
      <c r="AC5" s="139" t="inlineStr">
        <is>
          <t>CIS Controls</t>
        </is>
      </c>
      <c r="AD5" s="139" t="inlineStr">
        <is>
          <t>SOC 2</t>
        </is>
      </c>
      <c r="AE5" s="139" t="inlineStr">
        <is>
          <t>NIST SSDF and SP 800-218A</t>
        </is>
      </c>
      <c r="AF5" s="139" t="inlineStr">
        <is>
          <t>PCI DSS v4.0.1 requirements (AI)</t>
        </is>
      </c>
      <c r="AG5" s="139" t="inlineStr">
        <is>
          <t>PCI SSC AI guidance themes</t>
        </is>
      </c>
      <c r="AH5" s="75" t="inlineStr">
        <is>
          <t>OECD AI Principles</t>
        </is>
      </c>
      <c r="AI5" s="75" t="inlineStr">
        <is>
          <t>EU Ethics Guidelines</t>
        </is>
      </c>
      <c r="AJ5" s="75" t="inlineStr">
        <is>
          <t>UNESCO Recommendation</t>
        </is>
      </c>
      <c r="AK5" s="75" t="inlineStr">
        <is>
          <t>IEEE 7000-series</t>
        </is>
      </c>
      <c r="AL5" s="153" t="inlineStr">
        <is>
          <t>Council of Europe AI Convention</t>
        </is>
      </c>
      <c r="AM5" s="153" t="inlineStr">
        <is>
          <t>G7 Hiroshima Code</t>
        </is>
      </c>
      <c r="AN5" s="76" t="inlineStr">
        <is>
          <t>Privacy laws (8 laws)</t>
        </is>
      </c>
      <c r="AO5" s="76" t="inlineStr">
        <is>
          <t>GCC regulation</t>
        </is>
      </c>
      <c r="AP5" s="76" t="inlineStr">
        <is>
          <t>EU regulation</t>
        </is>
      </c>
      <c r="AQ5" s="76" t="inlineStr">
        <is>
          <t>UK regulation</t>
        </is>
      </c>
      <c r="AR5" s="76" t="inlineStr">
        <is>
          <t>US regulation</t>
        </is>
      </c>
      <c r="AS5" s="76" t="inlineStr">
        <is>
          <t>Australia regulation</t>
        </is>
      </c>
      <c r="AT5" s="76" t="inlineStr">
        <is>
          <t>Brazil regulation</t>
        </is>
      </c>
      <c r="AU5" s="76" t="inlineStr">
        <is>
          <t>Canada regulation</t>
        </is>
      </c>
      <c r="AV5" s="76" t="inlineStr">
        <is>
          <t>China regulation</t>
        </is>
      </c>
      <c r="AW5" s="76" t="inlineStr">
        <is>
          <t>India regulation</t>
        </is>
      </c>
      <c r="AX5" s="76" t="inlineStr">
        <is>
          <t>Japan regulation</t>
        </is>
      </c>
      <c r="AY5" s="76" t="inlineStr">
        <is>
          <t>Singapore regulation (incl. MAS)</t>
        </is>
      </c>
      <c r="AZ5" s="76" t="inlineStr">
        <is>
          <t>South Korea regulation</t>
        </is>
      </c>
      <c r="BA5" s="76" t="inlineStr">
        <is>
          <t>Hong Kong regulation (incl. HKMA)</t>
        </is>
      </c>
    </row>
    <row r="6" ht="60" customHeight="1">
      <c r="A6" s="5" t="inlineStr">
        <is>
          <t>AI-R01</t>
        </is>
      </c>
      <c r="B6" s="5" t="inlineStr">
        <is>
          <t>Critical Infrastructure Information Exposure</t>
        </is>
      </c>
      <c r="C6" s="6" t="inlineStr">
        <is>
          <t>AIR-RC-001</t>
        </is>
      </c>
      <c r="D6" s="6" t="inlineStr">
        <is>
          <t>AIR-DET-001; AIR-PREV-006; AIR-PREV-014</t>
        </is>
      </c>
      <c r="E6" s="100" t="inlineStr">
        <is>
          <t>-</t>
        </is>
      </c>
      <c r="F6" s="6" t="inlineStr">
        <is>
          <t>GOVERN 1.4; MEASURE 2.7; MEASURE 2.10; MANAGE 1.3; MANAGE 4.1</t>
        </is>
      </c>
      <c r="G6" s="100" t="inlineStr">
        <is>
          <t>-</t>
        </is>
      </c>
      <c r="H6" s="100" t="inlineStr">
        <is>
          <t>-</t>
        </is>
      </c>
      <c r="I6" s="6" t="inlineStr">
        <is>
          <t>LLM02:2025</t>
        </is>
      </c>
      <c r="J6" s="100" t="inlineStr">
        <is>
          <t>-</t>
        </is>
      </c>
      <c r="K6" s="100" t="inlineStr">
        <is>
          <t>-</t>
        </is>
      </c>
      <c r="L6" s="6" t="inlineStr">
        <is>
          <t>AML.T0025; AML.T0057; AML.T0085</t>
        </is>
      </c>
      <c r="M6" s="6" t="inlineStr">
        <is>
          <t>AML.M0005; AML.M0012; AML.M0020</t>
        </is>
      </c>
      <c r="N6" s="6" t="inlineStr">
        <is>
          <t>NISTAML.018; NISTAML.032; NISTAML.033; NISTAML.034; NISTAML.036; NISTAML.037; NISTAML.038</t>
        </is>
      </c>
      <c r="O6" s="6" t="inlineStr">
        <is>
          <t>A.2.2; A.4.3; A.7.6; A.9.2</t>
        </is>
      </c>
      <c r="P6" s="100" t="inlineStr">
        <is>
          <t>-</t>
        </is>
      </c>
      <c r="Q6" s="6" t="inlineStr">
        <is>
          <t>A.5.10; A.5.12; A.5.13; A.5.14; A.8.1; A.8.10; A.8.11; A.8.12; A.8.23; A.8.24; A.8.33</t>
        </is>
      </c>
      <c r="R6" s="100" t="inlineStr">
        <is>
          <t>-</t>
        </is>
      </c>
      <c r="S6" s="100" t="inlineStr">
        <is>
          <t>-</t>
        </is>
      </c>
      <c r="T6" s="100" t="inlineStr">
        <is>
          <t>-</t>
        </is>
      </c>
      <c r="U6" s="100" t="inlineStr">
        <is>
          <t>-</t>
        </is>
      </c>
      <c r="V6" s="6" t="inlineStr">
        <is>
          <t>Governance of data use</t>
        </is>
      </c>
      <c r="W6" s="6" t="inlineStr">
        <is>
          <t>AI-specific privacy threats</t>
        </is>
      </c>
      <c r="X6" s="6" t="inlineStr">
        <is>
          <t>AI data engineering process</t>
        </is>
      </c>
      <c r="Y6" s="6" t="inlineStr">
        <is>
          <t>8.2, 8.3</t>
        </is>
      </c>
      <c r="Z6" s="100" t="inlineStr">
        <is>
          <t>-</t>
        </is>
      </c>
      <c r="AA6" s="6" t="inlineStr">
        <is>
          <t>5259-1, 5.3</t>
        </is>
      </c>
      <c r="AB6" s="6" t="inlineStr">
        <is>
          <t>GV.PO; ID.AM; PR.DS; DE.CM</t>
        </is>
      </c>
      <c r="AC6" s="6" t="inlineStr">
        <is>
          <t>CIS 3; CIS 9</t>
        </is>
      </c>
      <c r="AD6" s="6" t="inlineStr">
        <is>
          <t>CC5.3; CC6.1; CC6.7; C1.1; C1.2</t>
        </is>
      </c>
      <c r="AE6" s="100" t="inlineStr">
        <is>
          <t>-</t>
        </is>
      </c>
      <c r="AF6" s="6" t="inlineStr">
        <is>
          <t>1.2.4 (data-flow diagrams); Requirement 3, and 3.3.1 (no storage of se...; 12.5.2 (scope confirmation)</t>
        </is>
      </c>
      <c r="AG6" s="6" t="inlineStr">
        <is>
          <t>Limits of AI use; Shadow AI; Independent egress monitoring; High-impact secrets and random values; Account data given to AI; Large datasets and aggregation; Cleartext card data (Example 4)</t>
        </is>
      </c>
      <c r="AH6" s="100" t="inlineStr">
        <is>
          <t>-</t>
        </is>
      </c>
      <c r="AI6" s="6" t="inlineStr">
        <is>
          <t>Privacy and data governance</t>
        </is>
      </c>
      <c r="AJ6" s="6" t="inlineStr">
        <is>
          <t>Right to privacy and data protection</t>
        </is>
      </c>
      <c r="AK6" s="6" t="inlineStr">
        <is>
          <t>IEEE 7002-2022</t>
        </is>
      </c>
      <c r="AL6" s="6" t="inlineStr">
        <is>
          <t>Art. 11</t>
        </is>
      </c>
      <c r="AM6" s="100" t="inlineStr">
        <is>
          <t>-</t>
        </is>
      </c>
      <c r="AN6" s="6" t="inlineStr">
        <is>
          <t>Retention and deletion</t>
        </is>
      </c>
      <c r="AO6" s="6" t="inlineStr">
        <is>
          <t>U1; S1; S3; Q1</t>
        </is>
      </c>
      <c r="AP6" s="6" t="inlineStr">
        <is>
          <t>E2</t>
        </is>
      </c>
      <c r="AQ6" s="6" t="inlineStr">
        <is>
          <t>UK2</t>
        </is>
      </c>
      <c r="AR6" s="6" t="inlineStr">
        <is>
          <t>US17</t>
        </is>
      </c>
      <c r="AS6" s="100" t="inlineStr">
        <is>
          <t>-</t>
        </is>
      </c>
      <c r="AT6" s="6" t="inlineStr">
        <is>
          <t>BR2</t>
        </is>
      </c>
      <c r="AU6" s="100" t="inlineStr">
        <is>
          <t>-</t>
        </is>
      </c>
      <c r="AV6" s="100" t="inlineStr">
        <is>
          <t>-</t>
        </is>
      </c>
      <c r="AW6" s="6" t="inlineStr">
        <is>
          <t>IN1</t>
        </is>
      </c>
      <c r="AX6" s="100" t="inlineStr">
        <is>
          <t>-</t>
        </is>
      </c>
      <c r="AY6" s="6" t="inlineStr">
        <is>
          <t>SG4; SG5; MAS 2.3 to 2.5; MAS 5.4</t>
        </is>
      </c>
      <c r="AZ6" s="100" t="inlineStr">
        <is>
          <t>-</t>
        </is>
      </c>
      <c r="BA6" s="6" t="inlineStr">
        <is>
          <t>HK7; Risk management frameworks: data within appro</t>
        </is>
      </c>
    </row>
    <row r="7" ht="60" customHeight="1">
      <c r="A7" s="5" t="inlineStr">
        <is>
          <t>AI-R02</t>
        </is>
      </c>
      <c r="B7" s="5" t="inlineStr">
        <is>
          <t>Shadow AI and Ungoverned AI Usage</t>
        </is>
      </c>
      <c r="C7" s="100" t="inlineStr">
        <is>
          <t>-</t>
        </is>
      </c>
      <c r="D7" s="100" t="inlineStr">
        <is>
          <t>-</t>
        </is>
      </c>
      <c r="E7" s="6" t="inlineStr">
        <is>
          <t>01 Governance and oversight; 01 Policy and standards; 07 MLOps and deployment</t>
        </is>
      </c>
      <c r="F7" s="6" t="inlineStr">
        <is>
          <t>GOVERN 1.2; GOVERN 1.3; GOVERN 1.4; GOVERN 1.6; GOVERN 1.7; GOVERN 2.1; GOVERN 2.2; GOVERN 6.1; MAP 1.1; MAP 1.5; MAP 3.4; MANAGE 1.2; MANAGE 1.3; MANAGE 1.4</t>
        </is>
      </c>
      <c r="G7" s="100" t="inlineStr">
        <is>
          <t>-</t>
        </is>
      </c>
      <c r="H7" s="6" t="inlineStr">
        <is>
          <t>GV.1; GV.2; GV.3; GV.4; RG.1; RG.2</t>
        </is>
      </c>
      <c r="I7" s="6" t="inlineStr">
        <is>
          <t>LLM02:2025; LLM03:2025</t>
        </is>
      </c>
      <c r="J7" s="100" t="inlineStr">
        <is>
          <t>-</t>
        </is>
      </c>
      <c r="K7" s="6" t="inlineStr">
        <is>
          <t>MCP09:2025</t>
        </is>
      </c>
      <c r="L7" s="6" t="inlineStr">
        <is>
          <t>AML.T0057</t>
        </is>
      </c>
      <c r="M7" s="6" t="inlineStr">
        <is>
          <t>AML.M0018; AML.M0020</t>
        </is>
      </c>
      <c r="N7" s="100" t="inlineStr">
        <is>
          <t>-</t>
        </is>
      </c>
      <c r="O7" s="6" t="inlineStr">
        <is>
          <t>A.2.2; A.2.3; A.2.4; A.3.2; A.4.2; A.4.6; A.5.2; A.9.2; A.9.4</t>
        </is>
      </c>
      <c r="P7" s="6" t="inlineStr">
        <is>
          <t>Clause 6.1.2; Clause 6.1.3; Clause 7.2; Clause 7.3</t>
        </is>
      </c>
      <c r="Q7" s="6" t="inlineStr">
        <is>
          <t>A.5.1; A.5.2; A.5.4; A.5.8; A.5.9; A.5.10; A.5.12; A.6.2; A.6.3; A.6.4; A.8.1; A.8.12; A.8.16; A.8.23</t>
        </is>
      </c>
      <c r="R7" s="6" t="inlineStr">
        <is>
          <t>Clause 6.1.2; Clause 6.1.3</t>
        </is>
      </c>
      <c r="S7" s="6" t="inlineStr">
        <is>
          <t>5.2 to 5.4</t>
        </is>
      </c>
      <c r="T7" s="6" t="inlineStr">
        <is>
          <t>AI system information, including intended and</t>
        </is>
      </c>
      <c r="U7" s="6" t="inlineStr">
        <is>
          <t>Scope of certification; 9.1.4 and Annex A</t>
        </is>
      </c>
      <c r="V7" s="6" t="inlineStr">
        <is>
          <t>Governance oversight of AI; Culture and values; Risk (appetite, management, objectives, sourc</t>
        </is>
      </c>
      <c r="W7" s="100" t="inlineStr">
        <is>
          <t>-</t>
        </is>
      </c>
      <c r="X7" s="6" t="inlineStr">
        <is>
          <t>6.3.4, 6.3.5; Disposal process</t>
        </is>
      </c>
      <c r="Y7" s="100" t="inlineStr">
        <is>
          <t>-</t>
        </is>
      </c>
      <c r="Z7" s="100" t="inlineStr">
        <is>
          <t>-</t>
        </is>
      </c>
      <c r="AA7" s="100" t="inlineStr">
        <is>
          <t>-</t>
        </is>
      </c>
      <c r="AB7" s="6" t="inlineStr">
        <is>
          <t>GV.RM; GV.RR; GV.PO; ID.AM; ID.RA; PR.AT; PR.DS; DE.CM</t>
        </is>
      </c>
      <c r="AC7" s="6" t="inlineStr">
        <is>
          <t>CIS 1; CIS 2; CIS 3; CIS 9; CIS 14</t>
        </is>
      </c>
      <c r="AD7" s="6" t="inlineStr">
        <is>
          <t>CC1.3; CC1.4; CC2.2; CC3.1; CC3.2; CC5.3; CC6.7; CC6.8; CC7.2; CC9.1</t>
        </is>
      </c>
      <c r="AE7" s="6" t="inlineStr">
        <is>
          <t>PO.1; PO.2; PW.1; RV.2</t>
        </is>
      </c>
      <c r="AF7" s="6" t="inlineStr">
        <is>
          <t>1.2.4 (data-flow diagrams); 12.5.1 (inventory of system components); 12.5.2 (scope confirmation); Targeted risk analysis (not numbered in th...</t>
        </is>
      </c>
      <c r="AG7" s="6" t="inlineStr">
        <is>
          <t>Requirements, scoping and threat modelling; AI inventory and AI-BOM; Shadow AI; Categorising AI system risk; AI system owner; AI-enabled social engineering and biometri...</t>
        </is>
      </c>
      <c r="AH7" s="6" t="inlineStr">
        <is>
          <t>Principle 1.1; Principle 1.5</t>
        </is>
      </c>
      <c r="AI7" s="6" t="inlineStr">
        <is>
          <t>Accountability</t>
        </is>
      </c>
      <c r="AJ7" s="6" t="inlineStr">
        <is>
          <t>Proportionality and do no harm; Multi-stakeholder and adaptive governance ...; Responsibility and accountability; Awareness and literacy</t>
        </is>
      </c>
      <c r="AK7" s="100" t="inlineStr">
        <is>
          <t>-</t>
        </is>
      </c>
      <c r="AL7" s="6" t="inlineStr">
        <is>
          <t>Art. 9; Art. 16; Art. 20</t>
        </is>
      </c>
      <c r="AM7" s="6" t="inlineStr">
        <is>
          <t>Action 1; Action 5</t>
        </is>
      </c>
      <c r="AN7" s="100" t="inlineStr">
        <is>
          <t>-</t>
        </is>
      </c>
      <c r="AO7" s="6" t="inlineStr">
        <is>
          <t>U3; U4; U6; U9; U12; S2; S3; S5; Q3; Q4; B2; O1</t>
        </is>
      </c>
      <c r="AP7" s="6" t="inlineStr">
        <is>
          <t>E1a; E1b; E1c; E8; E12; E14; E17</t>
        </is>
      </c>
      <c r="AQ7" s="6" t="inlineStr">
        <is>
          <t>UK1; UK5; UK6; UK11; UK13</t>
        </is>
      </c>
      <c r="AR7" s="6" t="inlineStr">
        <is>
          <t>US5; US6; US8; US9; US12; US14; US15; US16</t>
        </is>
      </c>
      <c r="AS7" s="6" t="inlineStr">
        <is>
          <t>AU1; AU4; AU7</t>
        </is>
      </c>
      <c r="AT7" s="6" t="inlineStr">
        <is>
          <t>BR1; BR3</t>
        </is>
      </c>
      <c r="AU7" s="6" t="inlineStr">
        <is>
          <t>CA4; CA5; CA6; CA8</t>
        </is>
      </c>
      <c r="AV7" s="6" t="inlineStr">
        <is>
          <t>CN1; CN2; CN5</t>
        </is>
      </c>
      <c r="AW7" s="6" t="inlineStr">
        <is>
          <t>IN4; IN5; IN6; IN7; IN8; IN13</t>
        </is>
      </c>
      <c r="AX7" s="6" t="inlineStr">
        <is>
          <t>JP1; JP2; JP3; JP6</t>
        </is>
      </c>
      <c r="AY7" s="6" t="inlineStr">
        <is>
          <t>SG1; SG2; SG5; MAS 1.6, 2.1 to 2.2; MAS 2.3 to 2.5; MAS 3.1 to 3.4; MAS 3.5; MAS 1.5, 3.6; MAS 4.2 to 4.4; MAS 4.5 to 4.9; MAS 4.10 to 4.13; MAS 5.26; MAS 6.1 to 6.2</t>
        </is>
      </c>
      <c r="AZ7" s="6" t="inlineStr">
        <is>
          <t>KR3; KR4; KR5; KR6</t>
        </is>
      </c>
      <c r="BA7" s="6" t="inlineStr">
        <is>
          <t>HK1; HK2; HK5; HK6; Board and senior management accountability: t; Use-case owners and human oversight: a named ; Inventory: an up-to-date inventory of approve; Risk-commensurate management: materiality and; Resources and expertise: adequate resources a</t>
        </is>
      </c>
    </row>
    <row r="8" ht="60" customHeight="1">
      <c r="A8" s="5" t="inlineStr">
        <is>
          <t>AI-R03</t>
        </is>
      </c>
      <c r="B8" s="5" t="inlineStr">
        <is>
          <t>Sensitive Data Leakage Through Prompts and Uploads</t>
        </is>
      </c>
      <c r="C8" s="6" t="inlineStr">
        <is>
          <t>AIR-RC-001</t>
        </is>
      </c>
      <c r="D8" s="6" t="inlineStr">
        <is>
          <t>AIR-DET-001; AIR-PREV-006; AIR-PREV-007; AIR-PREV-014</t>
        </is>
      </c>
      <c r="E8" s="6" t="inlineStr">
        <is>
          <t>03 Privacy and consent</t>
        </is>
      </c>
      <c r="F8" s="6" t="inlineStr">
        <is>
          <t>GOVERN 1.1; GOVERN 1.2; GOVERN 1.4; GOVERN 2.1; GOVERN 2.2; MAP 5.1; MEASURE 2.7; MEASURE 2.10; MANAGE 1.3; MANAGE 4.1</t>
        </is>
      </c>
      <c r="G8" s="6" t="inlineStr">
        <is>
          <t>Data Privacy</t>
        </is>
      </c>
      <c r="H8" s="6" t="inlineStr">
        <is>
          <t>GV.1; GV.2; CM.1; RG.5</t>
        </is>
      </c>
      <c r="I8" s="6" t="inlineStr">
        <is>
          <t>LLM01:2025; LLM02:2025</t>
        </is>
      </c>
      <c r="J8" s="100" t="inlineStr">
        <is>
          <t>-</t>
        </is>
      </c>
      <c r="K8" s="100" t="inlineStr">
        <is>
          <t>-</t>
        </is>
      </c>
      <c r="L8" s="6" t="inlineStr">
        <is>
          <t>AML.T0025; AML.T0051; AML.T0057; AML.T0085; AML.T0088; AML.T0129</t>
        </is>
      </c>
      <c r="M8" s="6" t="inlineStr">
        <is>
          <t>AML.M0005; AML.M0012; AML.M0018; AML.M0020; AML.M0034</t>
        </is>
      </c>
      <c r="N8" s="6" t="inlineStr">
        <is>
          <t>NISTAML.018; NISTAML.022; NISTAML.032; NISTAML.033; NISTAML.034; NISTAML.036; NISTAML.037; NISTAML.038</t>
        </is>
      </c>
      <c r="O8" s="6" t="inlineStr">
        <is>
          <t>A.2.2; A.2.3; A.2.4; A.3.2; A.4.3; A.5.2; A.5.3; A.5.4; A.6.2.4; A.7.6; A.9.2</t>
        </is>
      </c>
      <c r="P8" s="100" t="inlineStr">
        <is>
          <t>-</t>
        </is>
      </c>
      <c r="Q8" s="6" t="inlineStr">
        <is>
          <t>A.5.1; A.5.2; A.5.4; A.5.10; A.5.12; A.5.13; A.5.14; A.5.31; A.5.34; A.6.2; A.6.4; A.8.1; A.8.7; A.8.10; A.8.11; A.8.12; A.8.23; A.8.24; A.8.26; A.8.33</t>
        </is>
      </c>
      <c r="R8" s="100" t="inlineStr">
        <is>
          <t>-</t>
        </is>
      </c>
      <c r="S8" s="6" t="inlineStr">
        <is>
          <t>5.2 to 5.4</t>
        </is>
      </c>
      <c r="T8" s="100" t="inlineStr">
        <is>
          <t>-</t>
        </is>
      </c>
      <c r="U8" s="100" t="inlineStr">
        <is>
          <t>-</t>
        </is>
      </c>
      <c r="V8" s="6" t="inlineStr">
        <is>
          <t>Governance of data use; Compliance</t>
        </is>
      </c>
      <c r="W8" s="6" t="inlineStr">
        <is>
          <t>AI-specific privacy threats</t>
        </is>
      </c>
      <c r="X8" s="6" t="inlineStr">
        <is>
          <t>AI data engineering process</t>
        </is>
      </c>
      <c r="Y8" s="6" t="inlineStr">
        <is>
          <t>8.2, 8.3</t>
        </is>
      </c>
      <c r="Z8" s="100" t="inlineStr">
        <is>
          <t>-</t>
        </is>
      </c>
      <c r="AA8" s="6" t="inlineStr">
        <is>
          <t>5259-1, 5.3</t>
        </is>
      </c>
      <c r="AB8" s="6" t="inlineStr">
        <is>
          <t>GV.OC; GV.RR; GV.PO; ID.AM; PR.DS; DE.CM</t>
        </is>
      </c>
      <c r="AC8" s="6" t="inlineStr">
        <is>
          <t>CIS 3; CIS 9; CIS 10</t>
        </is>
      </c>
      <c r="AD8" s="6" t="inlineStr">
        <is>
          <t>CC1.3; CC2.2; CC5.3; CC6.1; CC6.7; CC6.8; C1.1; C1.2; P1.1; P3.1; P4.1; P4.2; P5.1</t>
        </is>
      </c>
      <c r="AE8" s="6" t="inlineStr">
        <is>
          <t>PO.1; PO.2</t>
        </is>
      </c>
      <c r="AF8" s="6" t="inlineStr">
        <is>
          <t>1.2.4 (data-flow diagrams); Requirement 3, and 3.3.1 (no storage of se...; 12.5.2 (scope confirmation)</t>
        </is>
      </c>
      <c r="AG8" s="6" t="inlineStr">
        <is>
          <t>Limits of AI use; Shadow AI; Independent egress monitoring; High-impact secrets and random values; Account data given to AI; AI system owner; AI-powered robotic systems; Large datasets and aggregation; Cleartext card data (Example 4); AI-enabled social engineering and biometri...</t>
        </is>
      </c>
      <c r="AH8" s="6" t="inlineStr">
        <is>
          <t>Principle 1.2; Principle 1.3; Principle 1.5</t>
        </is>
      </c>
      <c r="AI8" s="6" t="inlineStr">
        <is>
          <t>Privacy and data governance; Accountability</t>
        </is>
      </c>
      <c r="AJ8" s="6" t="inlineStr">
        <is>
          <t>Right to privacy and data protection; Multi-stakeholder and adaptive governance ...; Responsibility and accountability</t>
        </is>
      </c>
      <c r="AK8" s="6" t="inlineStr">
        <is>
          <t>IEEE 7002-2022</t>
        </is>
      </c>
      <c r="AL8" s="6" t="inlineStr">
        <is>
          <t>Art. 9; Art. 11</t>
        </is>
      </c>
      <c r="AM8" s="6" t="inlineStr">
        <is>
          <t>Action 5; Action 11</t>
        </is>
      </c>
      <c r="AN8" s="6" t="inlineStr">
        <is>
          <t>Automated decisions about individuals; Retention and deletion; Requests from individuals</t>
        </is>
      </c>
      <c r="AO8" s="6" t="inlineStr">
        <is>
          <t>U1; U3; U4; U5; U6; U7; U12; S1; S2; S3; Q1; Q3; B1; B2; O2</t>
        </is>
      </c>
      <c r="AP8" s="6" t="inlineStr">
        <is>
          <t>E1a; E1b; E1c; E2; E3; E4; E12; E17</t>
        </is>
      </c>
      <c r="AQ8" s="6" t="inlineStr">
        <is>
          <t>UK1; UK2; UK3; UK4; UK5; UK13</t>
        </is>
      </c>
      <c r="AR8" s="6" t="inlineStr">
        <is>
          <t>US5; US8; US9; US12; US14; US15; US17</t>
        </is>
      </c>
      <c r="AS8" s="6" t="inlineStr">
        <is>
          <t>AU1; AU2; AU3; AU3a; AU4; AU7</t>
        </is>
      </c>
      <c r="AT8" s="6" t="inlineStr">
        <is>
          <t>BR2; BR3</t>
        </is>
      </c>
      <c r="AU8" s="6" t="inlineStr">
        <is>
          <t>CA2; CA3; CA5; CA7; CA8</t>
        </is>
      </c>
      <c r="AV8" s="6" t="inlineStr">
        <is>
          <t>CN1; CN2; CN5; CN7; CN9</t>
        </is>
      </c>
      <c r="AW8" s="6" t="inlineStr">
        <is>
          <t>IN1; IN2; IN3; IN4; IN11; IN13</t>
        </is>
      </c>
      <c r="AX8" s="6" t="inlineStr">
        <is>
          <t>JP1; JP2; JP3; JP4</t>
        </is>
      </c>
      <c r="AY8" s="6" t="inlineStr">
        <is>
          <t>SG1; SG4; SG5; MAS 2.3 to 2.5; MAS 3.1 to 3.4; MAS 3.5; MAS 1.5, 3.6; MAS 5.4</t>
        </is>
      </c>
      <c r="AZ8" s="6" t="inlineStr">
        <is>
          <t>KR5; KR6; KR7</t>
        </is>
      </c>
      <c r="BA8" s="6" t="inlineStr">
        <is>
          <t>HK1; HK2; HK5; HK6; HK7; Board and senior management accountability: t; Risk management frameworks: data within appro; Ethical use and fair treatment: no unfair bia</t>
        </is>
      </c>
    </row>
    <row r="9" ht="60" customHeight="1">
      <c r="A9" s="5" t="inlineStr">
        <is>
          <t>AI-R04</t>
        </is>
      </c>
      <c r="B9" s="5" t="inlineStr">
        <is>
          <t>IDE-Based Source Code and Credential Exposure</t>
        </is>
      </c>
      <c r="C9" s="6" t="inlineStr">
        <is>
          <t>AIR-RC-001</t>
        </is>
      </c>
      <c r="D9" s="100" t="inlineStr">
        <is>
          <t>-</t>
        </is>
      </c>
      <c r="E9" s="100" t="inlineStr">
        <is>
          <t>-</t>
        </is>
      </c>
      <c r="F9" s="6" t="inlineStr">
        <is>
          <t>GOVERN 6.1; MEASURE 2.10; MANAGE 4.1</t>
        </is>
      </c>
      <c r="G9" s="100" t="inlineStr">
        <is>
          <t>-</t>
        </is>
      </c>
      <c r="H9" s="100" t="inlineStr">
        <is>
          <t>-</t>
        </is>
      </c>
      <c r="I9" s="6" t="inlineStr">
        <is>
          <t>LLM02:2025; LLM03:2025</t>
        </is>
      </c>
      <c r="J9" s="100" t="inlineStr">
        <is>
          <t>-</t>
        </is>
      </c>
      <c r="K9" s="100" t="inlineStr">
        <is>
          <t>-</t>
        </is>
      </c>
      <c r="L9" s="6" t="inlineStr">
        <is>
          <t>AML.T0055; AML.T0057</t>
        </is>
      </c>
      <c r="M9" s="100" t="inlineStr">
        <is>
          <t>-</t>
        </is>
      </c>
      <c r="N9" s="100" t="inlineStr">
        <is>
          <t>-</t>
        </is>
      </c>
      <c r="O9" s="6" t="inlineStr">
        <is>
          <t>A.4.4; A.9.2</t>
        </is>
      </c>
      <c r="P9" s="100" t="inlineStr">
        <is>
          <t>-</t>
        </is>
      </c>
      <c r="Q9" s="6" t="inlineStr">
        <is>
          <t>A.8.1; A.8.4; A.8.12; A.8.28</t>
        </is>
      </c>
      <c r="R9" s="100" t="inlineStr">
        <is>
          <t>-</t>
        </is>
      </c>
      <c r="S9" s="100" t="inlineStr">
        <is>
          <t>-</t>
        </is>
      </c>
      <c r="T9" s="100" t="inlineStr">
        <is>
          <t>-</t>
        </is>
      </c>
      <c r="U9" s="100" t="inlineStr">
        <is>
          <t>-</t>
        </is>
      </c>
      <c r="V9" s="100" t="inlineStr">
        <is>
          <t>-</t>
        </is>
      </c>
      <c r="W9" s="100" t="inlineStr">
        <is>
          <t>-</t>
        </is>
      </c>
      <c r="X9" s="100" t="inlineStr">
        <is>
          <t>-</t>
        </is>
      </c>
      <c r="Y9" s="100" t="inlineStr">
        <is>
          <t>-</t>
        </is>
      </c>
      <c r="Z9" s="100" t="inlineStr">
        <is>
          <t>-</t>
        </is>
      </c>
      <c r="AA9" s="100" t="inlineStr">
        <is>
          <t>-</t>
        </is>
      </c>
      <c r="AB9" s="6" t="inlineStr">
        <is>
          <t>PR.DS; PR.PS</t>
        </is>
      </c>
      <c r="AC9" s="6" t="inlineStr">
        <is>
          <t>CIS 3; CIS 16</t>
        </is>
      </c>
      <c r="AD9" s="6" t="inlineStr">
        <is>
          <t>CC6.7; CC8.1</t>
        </is>
      </c>
      <c r="AE9" s="6" t="inlineStr">
        <is>
          <t>PO.3; PW.5</t>
        </is>
      </c>
      <c r="AF9" s="6" t="inlineStr">
        <is>
          <t>6.2.3 and 6.2.3.1 (code review)</t>
        </is>
      </c>
      <c r="AG9" s="6" t="inlineStr">
        <is>
          <t>AI software development</t>
        </is>
      </c>
      <c r="AH9" s="100" t="inlineStr">
        <is>
          <t>-</t>
        </is>
      </c>
      <c r="AI9" s="100" t="inlineStr">
        <is>
          <t>-</t>
        </is>
      </c>
      <c r="AJ9" s="100" t="inlineStr">
        <is>
          <t>-</t>
        </is>
      </c>
      <c r="AK9" s="100" t="inlineStr">
        <is>
          <t>-</t>
        </is>
      </c>
      <c r="AL9" s="100" t="inlineStr">
        <is>
          <t>-</t>
        </is>
      </c>
      <c r="AM9" s="100" t="inlineStr">
        <is>
          <t>-</t>
        </is>
      </c>
      <c r="AN9" s="100" t="inlineStr">
        <is>
          <t>-</t>
        </is>
      </c>
      <c r="AO9" s="100" t="inlineStr">
        <is>
          <t>-</t>
        </is>
      </c>
      <c r="AP9" s="100" t="inlineStr">
        <is>
          <t>-</t>
        </is>
      </c>
      <c r="AQ9" s="100" t="inlineStr">
        <is>
          <t>-</t>
        </is>
      </c>
      <c r="AR9" s="100" t="inlineStr">
        <is>
          <t>-</t>
        </is>
      </c>
      <c r="AS9" s="100" t="inlineStr">
        <is>
          <t>-</t>
        </is>
      </c>
      <c r="AT9" s="100" t="inlineStr">
        <is>
          <t>-</t>
        </is>
      </c>
      <c r="AU9" s="100" t="inlineStr">
        <is>
          <t>-</t>
        </is>
      </c>
      <c r="AV9" s="100" t="inlineStr">
        <is>
          <t>-</t>
        </is>
      </c>
      <c r="AW9" s="100" t="inlineStr">
        <is>
          <t>-</t>
        </is>
      </c>
      <c r="AX9" s="100" t="inlineStr">
        <is>
          <t>-</t>
        </is>
      </c>
      <c r="AY9" s="100" t="inlineStr">
        <is>
          <t>-</t>
        </is>
      </c>
      <c r="AZ9" s="100" t="inlineStr">
        <is>
          <t>-</t>
        </is>
      </c>
      <c r="BA9" s="100" t="inlineStr">
        <is>
          <t>-</t>
        </is>
      </c>
    </row>
    <row r="10" ht="60" customHeight="1">
      <c r="A10" s="5" t="inlineStr">
        <is>
          <t>AI-R05</t>
        </is>
      </c>
      <c r="B10" s="5" t="inlineStr">
        <is>
          <t>Prompt Injection Against Custom AI Applications</t>
        </is>
      </c>
      <c r="C10" s="6" t="inlineStr">
        <is>
          <t>AIR-SEC-010</t>
        </is>
      </c>
      <c r="D10" s="6" t="inlineStr">
        <is>
          <t>AIR-DET-011; AIR-DET-015; AIR-PREV-002; AIR-PREV-003; AIR-PREV-005; AIR-PREV-006; AIR-PREV-010; AIR-PREV-017; AIR-PREV-019</t>
        </is>
      </c>
      <c r="E10" s="6" t="inlineStr">
        <is>
          <t>05 Data and pipeline attacks; 05 Inference-time (input) attacks</t>
        </is>
      </c>
      <c r="F10" s="6" t="inlineStr">
        <is>
          <t>GOVERN 4.2; GOVERN 4.3; MAP 2.3; MEASURE 2.1; MEASURE 2.6; MEASURE 2.7; MEASURE 2.10; MANAGE 1.1; MANAGE 1.3</t>
        </is>
      </c>
      <c r="G10" s="6" t="inlineStr">
        <is>
          <t>Information Security</t>
        </is>
      </c>
      <c r="H10" s="6" t="inlineStr">
        <is>
          <t>TR.1</t>
        </is>
      </c>
      <c r="I10" s="6" t="inlineStr">
        <is>
          <t>LLM01:2025; LLM02:2025; LLM03:2025; LLM04:2025; LLM05:2025; LLM06:2025; LLM07:2025; LLM08:2025; LLM09:2025; LLM10:2025</t>
        </is>
      </c>
      <c r="J10" s="6" t="inlineStr">
        <is>
          <t>ASI01; ASI06</t>
        </is>
      </c>
      <c r="K10" s="6" t="inlineStr">
        <is>
          <t>MCP06:2025</t>
        </is>
      </c>
      <c r="L10" s="6" t="inlineStr">
        <is>
          <t>AML.T0051; AML.T0054; AML.T0056; AML.T0057; AML.T0066; AML.T0067; AML.T0068; AML.T0070; AML.T0071; AML.T0077; AML.T0080; AML.T0088; AML.T0092; AML.T0093; AML.T0094; AML.T0129</t>
        </is>
      </c>
      <c r="M10" s="6" t="inlineStr">
        <is>
          <t>AML.M0020; AML.M0021; AML.M0025; AML.M0031; AML.M0033; AML.M0034; AML.M0035</t>
        </is>
      </c>
      <c r="N10" s="6" t="inlineStr">
        <is>
          <t>NISTAML.012; NISTAML.013; NISTAML.015; NISTAML.018; NISTAML.021; NISTAML.022; NISTAML.023; NISTAML.024; NISTAML.025; NISTAML.027; NISTAML.032; NISTAML.033; NISTAML.035; NISTAML.036; NISTAML.038; 3.5 Security of agents; 3.6 Benchmarks for AML vulnerabilities</t>
        </is>
      </c>
      <c r="O10" s="6" t="inlineStr">
        <is>
          <t>A.5.2; A.6.1.2; A.6.1.3; A.6.2.2; A.6.2.4; A.6.2.5; A.6.2.6; A.7.3; A.7.4; A.7.5</t>
        </is>
      </c>
      <c r="P10" s="100" t="inlineStr">
        <is>
          <t>-</t>
        </is>
      </c>
      <c r="Q10" s="6" t="inlineStr">
        <is>
          <t>A.5.7; A.5.8; A.8.3; A.8.7; A.8.8; A.8.12; A.8.16; A.8.25; A.8.26; A.8.27; A.8.28; A.8.29; A.8.32; A.8.34</t>
        </is>
      </c>
      <c r="R10" s="100" t="inlineStr">
        <is>
          <t>-</t>
        </is>
      </c>
      <c r="S10" s="100" t="inlineStr">
        <is>
          <t>-</t>
        </is>
      </c>
      <c r="T10" s="100" t="inlineStr">
        <is>
          <t>-</t>
        </is>
      </c>
      <c r="U10" s="100" t="inlineStr">
        <is>
          <t>-</t>
        </is>
      </c>
      <c r="V10" s="100" t="inlineStr">
        <is>
          <t>-</t>
        </is>
      </c>
      <c r="W10" s="6" t="inlineStr">
        <is>
          <t>AI-specific security threats (data poisoning,; Testing and evaluation</t>
        </is>
      </c>
      <c r="X10" s="6" t="inlineStr">
        <is>
          <t>Knowledge acquisition process; 6.4.11, 6.4.13; Continuous validation process</t>
        </is>
      </c>
      <c r="Y10" s="6" t="inlineStr">
        <is>
          <t>8.4, 8.5; 8.6, 8.7</t>
        </is>
      </c>
      <c r="Z10" s="6" t="inlineStr">
        <is>
          <t>Trustworthiness (robustness, reliability, res</t>
        </is>
      </c>
      <c r="AA10" s="6" t="inlineStr">
        <is>
          <t>5259-2, 6</t>
        </is>
      </c>
      <c r="AB10" s="6" t="inlineStr">
        <is>
          <t>ID.RA; ID.IM; PR.DS; PR.PS; DE.CM</t>
        </is>
      </c>
      <c r="AC10" s="6" t="inlineStr">
        <is>
          <t>CIS 3; CIS 7; CIS 10; CIS 13; CIS 16; CIS 18</t>
        </is>
      </c>
      <c r="AD10" s="6" t="inlineStr">
        <is>
          <t>CC3.4; CC4.1; CC6.1; CC6.6; CC6.7; CC6.8; CC7.1; CC7.2; CC8.1; PI1.2; PI1.4; PI1.5</t>
        </is>
      </c>
      <c r="AE10" s="6" t="inlineStr">
        <is>
          <t>PO.1; PO.4; PW.1; PW.2; PW.3; PW.5; PW.7; PW.8; PW.9; RV.1</t>
        </is>
      </c>
      <c r="AF10" s="6" t="inlineStr">
        <is>
          <t>6.2.3 and 6.2.3.1 (code review); 6.5.1, with 6.2.4 (change procedures); Targeted risk analysis (not numbered in th...; Penetration and segmentation testing (not ...</t>
        </is>
      </c>
      <c r="AG10" s="6" t="inlineStr">
        <is>
          <t>AI system inputs and functional limitations; Requirements, scoping and threat modelling; Evaluation of deployment controls; Use, monitoring and revalidation; Reliability and failure handling; Independent egress monitoring; AI-powered robotic systems; AI-enabled social engineering and biometri...</t>
        </is>
      </c>
      <c r="AH10" s="6" t="inlineStr">
        <is>
          <t>Principle 1.4</t>
        </is>
      </c>
      <c r="AI10" s="6" t="inlineStr">
        <is>
          <t>Technical robustness and safety</t>
        </is>
      </c>
      <c r="AJ10" s="6" t="inlineStr">
        <is>
          <t>Safety and security</t>
        </is>
      </c>
      <c r="AK10" s="6" t="inlineStr">
        <is>
          <t>IEEE 7000-2021</t>
        </is>
      </c>
      <c r="AL10" s="6" t="inlineStr">
        <is>
          <t>Art. 12</t>
        </is>
      </c>
      <c r="AM10" s="6" t="inlineStr">
        <is>
          <t>Action 1; Action 2</t>
        </is>
      </c>
      <c r="AN10" s="100" t="inlineStr">
        <is>
          <t>-</t>
        </is>
      </c>
      <c r="AO10" s="6" t="inlineStr">
        <is>
          <t>U2; U11; S6; S7; Q4</t>
        </is>
      </c>
      <c r="AP10" s="6" t="inlineStr">
        <is>
          <t>E1c; E5; E7; E17</t>
        </is>
      </c>
      <c r="AQ10" s="6" t="inlineStr">
        <is>
          <t>UK10</t>
        </is>
      </c>
      <c r="AR10" s="6" t="inlineStr">
        <is>
          <t>US3</t>
        </is>
      </c>
      <c r="AS10" s="6" t="inlineStr">
        <is>
          <t>AU8</t>
        </is>
      </c>
      <c r="AT10" s="100" t="inlineStr">
        <is>
          <t>-</t>
        </is>
      </c>
      <c r="AU10" s="100" t="inlineStr">
        <is>
          <t>-</t>
        </is>
      </c>
      <c r="AV10" s="6" t="inlineStr">
        <is>
          <t>CN7</t>
        </is>
      </c>
      <c r="AW10" s="6" t="inlineStr">
        <is>
          <t>IN8; IN10; IN11</t>
        </is>
      </c>
      <c r="AX10" s="100" t="inlineStr">
        <is>
          <t>-</t>
        </is>
      </c>
      <c r="AY10" s="6" t="inlineStr">
        <is>
          <t>SG2; SG5; SG7; SG8; MAS 5.12 to 5.13; MAS 5.14 to 5.15; MAS 5.16; MAS 5.18 to 5.21; MAS 5.22; MAS 5.24; MAS 5.25</t>
        </is>
      </c>
      <c r="AZ10" s="6" t="inlineStr">
        <is>
          <t>KR4</t>
        </is>
      </c>
      <c r="BA10" s="6" t="inlineStr">
        <is>
          <t xml:space="preserve">HK5; Risk-commensurate management: materiality and; Risk management frameworks: data within appro; Accountability for outputs: controls against </t>
        </is>
      </c>
    </row>
    <row r="11" ht="60" customHeight="1">
      <c r="A11" s="5" t="inlineStr">
        <is>
          <t>AI-R06</t>
        </is>
      </c>
      <c r="B11" s="5" t="inlineStr">
        <is>
          <t>AI Output Leakage and Oversharing</t>
        </is>
      </c>
      <c r="C11" s="6" t="inlineStr">
        <is>
          <t>AIR-SEC-002</t>
        </is>
      </c>
      <c r="D11" s="6" t="inlineStr">
        <is>
          <t>AIR-DET-001; AIR-DET-016; AIR-PREV-003; AIR-PREV-006; AIR-PREV-012; AIR-PREV-014; AIR-PREV-017; AIR-PREV-018; AIR-PREV-019; AIR-PREV-023</t>
        </is>
      </c>
      <c r="E11" s="6" t="inlineStr">
        <is>
          <t>03 Privacy and consent; 05 Output and integration security; 05 AI access and identity</t>
        </is>
      </c>
      <c r="F11" s="6" t="inlineStr">
        <is>
          <t>MEASURE 2.7; MEASURE 2.10; MANAGE 1.3</t>
        </is>
      </c>
      <c r="G11" s="6" t="inlineStr">
        <is>
          <t>Data Privacy</t>
        </is>
      </c>
      <c r="H11" s="6" t="inlineStr">
        <is>
          <t>AC.1; AC.2; AC.4</t>
        </is>
      </c>
      <c r="I11" s="6" t="inlineStr">
        <is>
          <t>LLM01:2025; LLM02:2025; LLM05:2025; LLM06:2025; LLM07:2025; LLM08:2025</t>
        </is>
      </c>
      <c r="J11" s="6" t="inlineStr">
        <is>
          <t>ASI01; ASI03</t>
        </is>
      </c>
      <c r="K11" s="6" t="inlineStr">
        <is>
          <t>MCP10:2025</t>
        </is>
      </c>
      <c r="L11" s="6" t="inlineStr">
        <is>
          <t>AML.T0012; AML.T0025; AML.T0051; AML.T0054; AML.T0055; AML.T0056; AML.T0057; AML.T0064; AML.T0067; AML.T0068; AML.T0077; AML.T0082; AML.T0083; AML.T0085; AML.T0093; AML.T0098</t>
        </is>
      </c>
      <c r="M11" s="6" t="inlineStr">
        <is>
          <t>AML.M0005; AML.M0012; AML.M0019; AML.M0020; AML.M0021; AML.M0026; AML.M0027; AML.M0028; AML.M0033</t>
        </is>
      </c>
      <c r="N11" s="6" t="inlineStr">
        <is>
          <t>NISTAML.015; NISTAML.018; NISTAML.022; NISTAML.025; NISTAML.032; NISTAML.033; NISTAML.034; NISTAML.035; NISTAML.036; NISTAML.037; NISTAML.038; NISTAML.039</t>
        </is>
      </c>
      <c r="O11" s="6" t="inlineStr">
        <is>
          <t>A.4.3; A.6.2.4; A.6.2.6; A.7.6</t>
        </is>
      </c>
      <c r="P11" s="100" t="inlineStr">
        <is>
          <t>-</t>
        </is>
      </c>
      <c r="Q11" s="6" t="inlineStr">
        <is>
          <t>A.5.12; A.5.13; A.5.15; A.5.18; A.8.2; A.8.3; A.8.10; A.8.11; A.8.12; A.8.16; A.8.24; A.8.26; A.8.27; A.8.28; A.8.33</t>
        </is>
      </c>
      <c r="R11" s="100" t="inlineStr">
        <is>
          <t>-</t>
        </is>
      </c>
      <c r="S11" s="100" t="inlineStr">
        <is>
          <t>-</t>
        </is>
      </c>
      <c r="T11" s="100" t="inlineStr">
        <is>
          <t>-</t>
        </is>
      </c>
      <c r="U11" s="100" t="inlineStr">
        <is>
          <t>-</t>
        </is>
      </c>
      <c r="V11" s="6" t="inlineStr">
        <is>
          <t>Governance of data use</t>
        </is>
      </c>
      <c r="W11" s="6" t="inlineStr">
        <is>
          <t>AI-specific privacy threats</t>
        </is>
      </c>
      <c r="X11" s="6" t="inlineStr">
        <is>
          <t>AI data engineering process</t>
        </is>
      </c>
      <c r="Y11" s="6" t="inlineStr">
        <is>
          <t>8.2, 8.3; 8.6, 8.7</t>
        </is>
      </c>
      <c r="Z11" s="100" t="inlineStr">
        <is>
          <t>-</t>
        </is>
      </c>
      <c r="AA11" s="6" t="inlineStr">
        <is>
          <t>5259-1, 5.3</t>
        </is>
      </c>
      <c r="AB11" s="6" t="inlineStr">
        <is>
          <t>ID.AM; PR.AA; PR.DS; PR.PS; DE.CM</t>
        </is>
      </c>
      <c r="AC11" s="6" t="inlineStr">
        <is>
          <t>CIS 3; CIS 5; CIS 6; CIS 13; CIS 16</t>
        </is>
      </c>
      <c r="AD11" s="6" t="inlineStr">
        <is>
          <t>CC6.1; CC6.3; CC6.6; CC6.7; CC7.2; C1.1; C1.2; PI1.4</t>
        </is>
      </c>
      <c r="AE11" s="6" t="inlineStr">
        <is>
          <t>PO.5; PW.5; PW.9</t>
        </is>
      </c>
      <c r="AF11" s="6" t="inlineStr">
        <is>
          <t>1.2.4 (data-flow diagrams); Requirement 3, and 3.3.1 (no storage of se...; 8.4.2 (MFA into the CDE); 12.5.2 (scope confirmation)</t>
        </is>
      </c>
      <c r="AG11" s="6" t="inlineStr">
        <is>
          <t>Limits of AI use; AI system inputs and functional limitations; Access and containment; Credentials constrained outside the AI system; Reliability and failure handling; Independent egress monitoring; High-impact secrets and random values; Credentials in context; Account data given to AI; Large datasets and aggregation; Cleartext card data (Example 4)</t>
        </is>
      </c>
      <c r="AH11" s="6" t="inlineStr">
        <is>
          <t>Principle 1.4</t>
        </is>
      </c>
      <c r="AI11" s="6" t="inlineStr">
        <is>
          <t>Technical robustness and safety; Privacy and data governance</t>
        </is>
      </c>
      <c r="AJ11" s="6" t="inlineStr">
        <is>
          <t>Safety and security; Right to privacy and data protection</t>
        </is>
      </c>
      <c r="AK11" s="6" t="inlineStr">
        <is>
          <t>IEEE 7002-2022</t>
        </is>
      </c>
      <c r="AL11" s="6" t="inlineStr">
        <is>
          <t>Art. 11</t>
        </is>
      </c>
      <c r="AM11" s="100" t="inlineStr">
        <is>
          <t>-</t>
        </is>
      </c>
      <c r="AN11" s="6" t="inlineStr">
        <is>
          <t>Retention and deletion</t>
        </is>
      </c>
      <c r="AO11" s="6" t="inlineStr">
        <is>
          <t>U1; U2; U11; S1; S6; S7; Q1</t>
        </is>
      </c>
      <c r="AP11" s="6" t="inlineStr">
        <is>
          <t>E2; E5; E7; E17</t>
        </is>
      </c>
      <c r="AQ11" s="6" t="inlineStr">
        <is>
          <t>UK2; UK10</t>
        </is>
      </c>
      <c r="AR11" s="6" t="inlineStr">
        <is>
          <t>US3; US17</t>
        </is>
      </c>
      <c r="AS11" s="6" t="inlineStr">
        <is>
          <t>AU8</t>
        </is>
      </c>
      <c r="AT11" s="6" t="inlineStr">
        <is>
          <t>BR2</t>
        </is>
      </c>
      <c r="AU11" s="100" t="inlineStr">
        <is>
          <t>-</t>
        </is>
      </c>
      <c r="AV11" s="6" t="inlineStr">
        <is>
          <t>CN7</t>
        </is>
      </c>
      <c r="AW11" s="6" t="inlineStr">
        <is>
          <t>IN1; IN8; IN10; IN11</t>
        </is>
      </c>
      <c r="AX11" s="100" t="inlineStr">
        <is>
          <t>-</t>
        </is>
      </c>
      <c r="AY11" s="6" t="inlineStr">
        <is>
          <t>SG2; SG4; SG5; SG7; SG8; MAS 5.4; MAS 5.16</t>
        </is>
      </c>
      <c r="AZ11" s="6" t="inlineStr">
        <is>
          <t>KR4</t>
        </is>
      </c>
      <c r="BA11" s="6" t="inlineStr">
        <is>
          <t xml:space="preserve">HK5; HK7; Risk management frameworks: data within appro; Accountability for outputs: controls against </t>
        </is>
      </c>
    </row>
    <row r="12" ht="60" customHeight="1">
      <c r="A12" s="5" t="inlineStr">
        <is>
          <t>AI-R07</t>
        </is>
      </c>
      <c r="B12" s="5" t="inlineStr">
        <is>
          <t>AI Agent and Tool-Calling Abuse</t>
        </is>
      </c>
      <c r="C12" s="6" t="inlineStr">
        <is>
          <t>AIR-SEC-024</t>
        </is>
      </c>
      <c r="D12" s="6" t="inlineStr">
        <is>
          <t>AIR-DET-011; AIR-DET-015; AIR-PREV-005; AIR-PREV-010; AIR-PREV-012; AIR-PREV-018; AIR-PREV-019; AIR-PREV-020; AIR-PREV-022; AIR-PREV-023; AIR-PREV-024; AIR-PREV-025</t>
        </is>
      </c>
      <c r="E12" s="6" t="inlineStr">
        <is>
          <t>05 Output and integration security; 12 Autonomy, alignment and oversight; 12 Tool access and authorization; 12 Action integrity and traceability</t>
        </is>
      </c>
      <c r="F12" s="6" t="inlineStr">
        <is>
          <t>GOVERN 1.6; GOVERN 3.2; GOVERN 4.2; GOVERN 4.3; GOVERN 6.1; MAP 3.5; MAP 4.1; MAP 4.2; MEASURE 2.1; MEASURE 2.4; MEASURE 2.6; MEASURE 2.7; MEASURE 2.8; MEASURE 2.10; MANAGE 1.1; MANAGE 1.3; MANAGE 2.3; MANAGE 2.4; MANAGE 3.1</t>
        </is>
      </c>
      <c r="G12" s="6" t="inlineStr">
        <is>
          <t>Information Security</t>
        </is>
      </c>
      <c r="H12" s="6" t="inlineStr">
        <is>
          <t>CM.3; RG.2; RG.4; AC.1; AC.2; AC.3; AC.4; TR.1; TR.2</t>
        </is>
      </c>
      <c r="I12" s="6" t="inlineStr">
        <is>
          <t>LLM01:2025; LLM02:2025; LLM03:2025; LLM04:2025; LLM05:2025; LLM06:2025; LLM07:2025; LLM08:2025; LLM09:2025; LLM10:2025</t>
        </is>
      </c>
      <c r="J12" s="6" t="inlineStr">
        <is>
          <t>ASI02; ASI03; ASI04; ASI05; ASI06; ASI07; ASI08; ASI09; ASI10</t>
        </is>
      </c>
      <c r="K12" s="6" t="inlineStr">
        <is>
          <t>MCP02:2025; MCP07:2025</t>
        </is>
      </c>
      <c r="L12" s="6" t="inlineStr">
        <is>
          <t>AML.T0010; AML.T0012; AML.T0034; AML.T0050; AML.T0053; AML.T0055; AML.T0073; AML.T0080; AML.T0081; AML.T0083; AML.T0086; AML.T0091; AML.T0092; AML.T0094; AML.T0098; AML.T0099; AML.T0101; AML.T0102; AML.T0105; AML.T0109; AML.T0110</t>
        </is>
      </c>
      <c r="M12" s="6" t="inlineStr">
        <is>
          <t>AML.M0011; AML.M0014; AML.M0019; AML.M0024; AML.M0026; AML.M0027; AML.M0028; AML.M0029; AML.M0030; AML.M0031; AML.M0032; AML.M0033; AML.M0035; AML.M0036; AML.M0037; AML.M0038</t>
        </is>
      </c>
      <c r="N12" s="6" t="inlineStr">
        <is>
          <t>NISTAML.012; NISTAML.013; NISTAML.015; NISTAML.018; NISTAML.021; NISTAML.022; NISTAML.023; NISTAML.024; NISTAML.025; NISTAML.027; NISTAML.032; NISTAML.033; NISTAML.039; 3.5 Security of agents; 3.6 Benchmarks for AML vulnerabilities</t>
        </is>
      </c>
      <c r="O12" s="6" t="inlineStr">
        <is>
          <t>A.4.2; A.4.4; A.4.5; A.5.2; A.6.1.2; A.6.1.3; A.6.2.2; A.6.2.4; A.6.2.5; A.6.2.6; A.9.2; A.9.3; A.10.3</t>
        </is>
      </c>
      <c r="P12" s="100" t="inlineStr">
        <is>
          <t>-</t>
        </is>
      </c>
      <c r="Q12" s="6" t="inlineStr">
        <is>
          <t>A.5.3; A.5.7; A.5.8; A.5.15; A.5.16; A.5.17; A.5.18; A.5.19; A.5.21; A.5.26; A.8.2; A.8.3; A.8.5; A.8.8; A.8.9; A.8.15; A.8.16; A.8.18; A.8.19; A.8.22; A.8.25; A.8.27; A.8.29; A.8.31; A.8.32; A.8.34</t>
        </is>
      </c>
      <c r="R12" s="100" t="inlineStr">
        <is>
          <t>-</t>
        </is>
      </c>
      <c r="S12" s="100" t="inlineStr">
        <is>
          <t>-</t>
        </is>
      </c>
      <c r="T12" s="100" t="inlineStr">
        <is>
          <t>-</t>
        </is>
      </c>
      <c r="U12" s="100" t="inlineStr">
        <is>
          <t>-</t>
        </is>
      </c>
      <c r="V12" s="6" t="inlineStr">
        <is>
          <t>Governance of decision-making</t>
        </is>
      </c>
      <c r="W12" s="6" t="inlineStr">
        <is>
          <t>AI-specific security threats (data poisoning,; Controllability, including human-in-the-loop ; Testing and evaluation</t>
        </is>
      </c>
      <c r="X12" s="6" t="inlineStr">
        <is>
          <t>6.4.11, 6.4.13; Continuous validation process</t>
        </is>
      </c>
      <c r="Y12" s="6" t="inlineStr">
        <is>
          <t>8.4, 8.5</t>
        </is>
      </c>
      <c r="Z12" s="6" t="inlineStr">
        <is>
          <t>Trustworthiness (robustness, reliability, res</t>
        </is>
      </c>
      <c r="AA12" s="100" t="inlineStr">
        <is>
          <t>-</t>
        </is>
      </c>
      <c r="AB12" s="6" t="inlineStr">
        <is>
          <t>GV.RR; GV.SC; ID.RA; ID.IM; PR.AA; PR.DS; PR.PS; PR.IR; DE.CM; RS.MA; RS.MI</t>
        </is>
      </c>
      <c r="AC12" s="6" t="inlineStr">
        <is>
          <t>CIS 2; CIS 3; CIS 4; CIS 5; CIS 6; CIS 7; CIS 8; CIS 12; CIS 15; CIS 16; CIS 17; CIS 18</t>
        </is>
      </c>
      <c r="AD12" s="6" t="inlineStr">
        <is>
          <t>CC3.4; CC4.1; CC6.1; CC6.2; CC6.3; CC6.6; CC6.8; CC7.1; CC7.2; CC7.4; CC8.1; CC9.2; PI1.5</t>
        </is>
      </c>
      <c r="AE12" s="6" t="inlineStr">
        <is>
          <t>PO.1; PO.4; PO.5; PW.1; PW.2; PW.7; PW.8; RV.1</t>
        </is>
      </c>
      <c r="AF12" s="6" t="inlineStr">
        <is>
          <t>6.2.3 and 6.2.3.1 (code review); 6.5.1, with 6.2.4 (change procedures); 8.4.2 (MFA into the CDE); Targeted risk analysis (not numbered in th...; Penetration and segmentation testing (not ...</t>
        </is>
      </c>
      <c r="AG12" s="6" t="inlineStr">
        <is>
          <t>Limits of AI use; AI system inputs and functional limitations; Requirements, scoping and threat modelling; Evaluation of deployment controls; Use, monitoring and revalidation; Access and containment; Human in the loop or over the loop; Credentials constrained outside the AI system; Multiple agents; Reliability and failure handling; High-impact secrets and random values; Credentials in context; Account data given to AI; AI in "individual" and "user" roles; Cleartext card data (Example 4); Computationally infeasible controls; Minimise blast radius</t>
        </is>
      </c>
      <c r="AH12" s="6" t="inlineStr">
        <is>
          <t>Principle 1.2; Principle 1.4</t>
        </is>
      </c>
      <c r="AI12" s="6" t="inlineStr">
        <is>
          <t>Human agency and oversight; Technical robustness and safety</t>
        </is>
      </c>
      <c r="AJ12" s="6" t="inlineStr">
        <is>
          <t>Safety and security; Human oversight and determination</t>
        </is>
      </c>
      <c r="AK12" s="6" t="inlineStr">
        <is>
          <t>IEEE 7000-2021</t>
        </is>
      </c>
      <c r="AL12" s="6" t="inlineStr">
        <is>
          <t>Art. 7; Art. 8; Art. 12; 14, 15</t>
        </is>
      </c>
      <c r="AM12" s="6" t="inlineStr">
        <is>
          <t>Action 1; Action 2</t>
        </is>
      </c>
      <c r="AN12" s="6" t="inlineStr">
        <is>
          <t>Automated decisions about individuals</t>
        </is>
      </c>
      <c r="AO12" s="6" t="inlineStr">
        <is>
          <t>U3; U6; U9; Q4; B4</t>
        </is>
      </c>
      <c r="AP12" s="6" t="inlineStr">
        <is>
          <t>E1c</t>
        </is>
      </c>
      <c r="AQ12" s="6" t="inlineStr">
        <is>
          <t>UK3; UK5</t>
        </is>
      </c>
      <c r="AR12" s="6" t="inlineStr">
        <is>
          <t>US8; US10</t>
        </is>
      </c>
      <c r="AS12" s="6" t="inlineStr">
        <is>
          <t>AU4</t>
        </is>
      </c>
      <c r="AT12" s="100" t="inlineStr">
        <is>
          <t>-</t>
        </is>
      </c>
      <c r="AU12" s="6" t="inlineStr">
        <is>
          <t>CA3</t>
        </is>
      </c>
      <c r="AV12" s="6" t="inlineStr">
        <is>
          <t>CN6</t>
        </is>
      </c>
      <c r="AW12" s="6" t="inlineStr">
        <is>
          <t>IN5; IN6; IN13</t>
        </is>
      </c>
      <c r="AX12" s="100" t="inlineStr">
        <is>
          <t>-</t>
        </is>
      </c>
      <c r="AY12" s="6" t="inlineStr">
        <is>
          <t>SG2; SG5; SG7; MAS 4.5 to 4.9; MAS 5.3; MAS 5.9; MAS 5.12 to 5.13; MAS 5.14 to 5.15; MAS 5.16; MAS 5.18 to 5.21; MAS 5.22; MAS 5.24; MAS 5.25</t>
        </is>
      </c>
      <c r="AZ12" s="6" t="inlineStr">
        <is>
          <t>KR3</t>
        </is>
      </c>
      <c r="BA12" s="6" t="inlineStr">
        <is>
          <t xml:space="preserve">HK1; HK3; HK5; HK6; HK9; Use-case owners and human oversight: a named ; Risk-commensurate management: materiality and; Accountability for outputs: controls against </t>
        </is>
      </c>
    </row>
    <row r="13" ht="60" customHeight="1">
      <c r="A13" s="5" t="inlineStr">
        <is>
          <t>AI-R08</t>
        </is>
      </c>
      <c r="B13" s="5" t="inlineStr">
        <is>
          <t>AI Supply Chain and Model Integrity Risk</t>
        </is>
      </c>
      <c r="C13" s="6" t="inlineStr">
        <is>
          <t>AIR-SEC-008; AIR-SEC-009; AIR-SEC-026</t>
        </is>
      </c>
      <c r="D13" s="6" t="inlineStr">
        <is>
          <t>AIR-PREV-002; AIR-PREV-005; AIR-PREV-006; AIR-PREV-007; AIR-PREV-010; AIR-PREV-012; AIR-PREV-014; AIR-PREV-018; AIR-PREV-019; AIR-PREV-020; AIR-PREV-023; AIR-PREV-025</t>
        </is>
      </c>
      <c r="E13" s="6" t="inlineStr">
        <is>
          <t>03 Sourcing and provenance; 04 Design and training; 05 Data and pipeline attacks; 05 Model attacks; 05 Supply-chain and artifact integrity; 09 Open-source component risk</t>
        </is>
      </c>
      <c r="F13" s="6" t="inlineStr">
        <is>
          <t>GOVERN 4.2; GOVERN 6.1; GOVERN 6.2; MAP 2.3; MAP 4.1; MAP 4.2; MEASURE 2.5; MEASURE 2.7; MEASURE 2.10; MANAGE 1.1; MANAGE 1.3; MANAGE 3.1; MANAGE 3.2</t>
        </is>
      </c>
      <c r="G13" s="6" t="inlineStr">
        <is>
          <t>Information Security; Value Chain and Component Integration</t>
        </is>
      </c>
      <c r="H13" s="6" t="inlineStr">
        <is>
          <t>RG.1; RG.5; AC.1; AC.2; AC.4</t>
        </is>
      </c>
      <c r="I13" s="6" t="inlineStr">
        <is>
          <t>LLM02:2025; LLM03:2025; LLM04:2025; LLM06:2025; LLM08:2025; LLM10:2025</t>
        </is>
      </c>
      <c r="J13" s="6" t="inlineStr">
        <is>
          <t>ASI02; ASI03; ASI04</t>
        </is>
      </c>
      <c r="K13" s="6" t="inlineStr">
        <is>
          <t>MCP04:2025</t>
        </is>
      </c>
      <c r="L13" s="6" t="inlineStr">
        <is>
          <t>AML.T0010; AML.T0012; AML.T0015; AML.T0018; AML.T0020; AML.T0024; AML.T0025; AML.T0043; AML.T0044; AML.T0049; AML.T0055; AML.T0059; AML.T0066; AML.T0070; AML.T0071; AML.T0083; AML.T0098; AML.T0099; AML.T0109; AML.T0110; AML.T0111; AML.T0115; AML.T0119; AML.T0132</t>
        </is>
      </c>
      <c r="M13" s="6" t="inlineStr">
        <is>
          <t>AML.M0003; AML.M0004; AML.M0005; AML.M0007; AML.M0008; AML.M0012; AML.M0013; AML.M0014; AML.M0015; AML.M0016; AML.M0019; AML.M0023; AML.M0025; AML.M0026; AML.M0027; AML.M0028</t>
        </is>
      </c>
      <c r="N13" s="6" t="inlineStr">
        <is>
          <t>NISTAML.011; NISTAML.012; NISTAML.013; NISTAML.015; NISTAML.021; NISTAML.023; NISTAML.024; NISTAML.026; NISTAML.031; NISTAML.032; NISTAML.033; NISTAML.034; NISTAML.037; NISTAML.038; NISTAML.039; NISTAML.051; 3.5 Security of agents</t>
        </is>
      </c>
      <c r="O13" s="6" t="inlineStr">
        <is>
          <t>A.4.2; A.4.4; A.4.5; A.5.2; A.6.1.2; A.6.1.3; A.6.2.2; A.6.2.3; A.6.2.4; A.6.2.5; A.6.2.6; A.6.2.7; A.7.2; A.7.3; A.7.4; A.7.5; A.10.2; A.10.3</t>
        </is>
      </c>
      <c r="P13" s="100" t="inlineStr">
        <is>
          <t>-</t>
        </is>
      </c>
      <c r="Q13" s="6" t="inlineStr">
        <is>
          <t>A.5.8; A.5.9; A.5.11; A.5.15; A.5.18; A.5.19; A.5.20; A.5.21; A.5.22; A.5.23; A.8.2; A.8.3; A.8.4; A.8.8; A.8.9; A.8.12; A.8.18; A.8.19; A.8.20; A.8.21; A.8.22; A.8.24; A.8.25; A.8.27; A.8.29; A.8.30; A.8.31; A.8.32; A.8.33</t>
        </is>
      </c>
      <c r="R13" s="100" t="inlineStr">
        <is>
          <t>-</t>
        </is>
      </c>
      <c r="S13" s="100" t="inlineStr">
        <is>
          <t>-</t>
        </is>
      </c>
      <c r="T13" s="6" t="inlineStr">
        <is>
          <t>Data information and quality</t>
        </is>
      </c>
      <c r="U13" s="6" t="inlineStr">
        <is>
          <t>9.1.4 and Annex A</t>
        </is>
      </c>
      <c r="V13" s="6" t="inlineStr">
        <is>
          <t>Governance of data use</t>
        </is>
      </c>
      <c r="W13" s="6" t="inlineStr">
        <is>
          <t>AI-specific security threats (data poisoning,; Testing and evaluation</t>
        </is>
      </c>
      <c r="X13" s="6" t="inlineStr">
        <is>
          <t>6.1.1, 6.1.2; 6.3.4, 6.3.5; Knowledge acquisition process; AI data engineering process; 6.4.11, 6.4.13; Disposal process</t>
        </is>
      </c>
      <c r="Y13" s="6" t="inlineStr">
        <is>
          <t>8.2, 8.3; 8.4, 8.5; 8.6, 8.7</t>
        </is>
      </c>
      <c r="Z13" s="100" t="inlineStr">
        <is>
          <t>-</t>
        </is>
      </c>
      <c r="AA13" s="6" t="inlineStr">
        <is>
          <t>5259-1, 5.3; 5259-2, 6; 5259-3, 9; 5259-4, 8</t>
        </is>
      </c>
      <c r="AB13" s="6" t="inlineStr">
        <is>
          <t>GV.SC; ID.AM; ID.RA; PR.AA; PR.DS; PR.PS; PR.IR</t>
        </is>
      </c>
      <c r="AC13" s="6" t="inlineStr">
        <is>
          <t>CIS 2; CIS 3; CIS 4; CIS 5; CIS 6; CIS 7; CIS 12; CIS 13; CIS 15; CIS 16</t>
        </is>
      </c>
      <c r="AD13" s="6" t="inlineStr">
        <is>
          <t>CC3.4; CC6.1; CC6.3; CC6.6; CC6.7; CC6.8; CC7.1; CC8.1; CC9.2; C1.1; PI1.2</t>
        </is>
      </c>
      <c r="AE13" s="6" t="inlineStr">
        <is>
          <t>PO.1; PO.3; PO.4; PO.5; PS.1; PS.2; PS.3; PW.1; PW.2; PW.3; PW.4; PW.6; PW.7; PW.9</t>
        </is>
      </c>
      <c r="AF13" s="6" t="inlineStr">
        <is>
          <t>6.2.3 and 6.2.3.1 (code review); 6.5.1, with 6.2.4 (change procedures); 8.4.2 (MFA into the CDE); 12.5.1 (inventory of system components); 12.8.x (third-party service providers); Targeted risk analysis (not numbered in th...; Payment page scripts (not numbered; 6.4.3 ...</t>
        </is>
      </c>
      <c r="AG13" s="6" t="inlineStr">
        <is>
          <t>Limits of AI use; Requirements, scoping and threat modelling; Adaptation and provenance; Evaluation of deployment controls; Internal and external AI systems; AI inventory and AI-BOM; Access and containment; Credentials constrained outside the AI system; High-impact secrets and random values; Credentials in context; AI software development</t>
        </is>
      </c>
      <c r="AH13" s="6" t="inlineStr">
        <is>
          <t>Principle 1.4</t>
        </is>
      </c>
      <c r="AI13" s="6" t="inlineStr">
        <is>
          <t>Technical robustness and safety; Privacy and data governance</t>
        </is>
      </c>
      <c r="AJ13" s="100" t="inlineStr">
        <is>
          <t>-</t>
        </is>
      </c>
      <c r="AK13" s="6" t="inlineStr">
        <is>
          <t>IEEE 7000-2021</t>
        </is>
      </c>
      <c r="AL13" s="100" t="inlineStr">
        <is>
          <t>-</t>
        </is>
      </c>
      <c r="AM13" s="6" t="inlineStr">
        <is>
          <t>Action 1; Action 6; Action 11</t>
        </is>
      </c>
      <c r="AN13" s="6" t="inlineStr">
        <is>
          <t>Vendors that process the data</t>
        </is>
      </c>
      <c r="AO13" s="6" t="inlineStr">
        <is>
          <t>U2; U9; U11; S6; S7; S9; Q4</t>
        </is>
      </c>
      <c r="AP13" s="6" t="inlineStr">
        <is>
          <t>E1e; E6; E9; E11; E13; E15</t>
        </is>
      </c>
      <c r="AQ13" s="6" t="inlineStr">
        <is>
          <t>UK8</t>
        </is>
      </c>
      <c r="AR13" s="6" t="inlineStr">
        <is>
          <t>US6; US14; US15; US16; US17</t>
        </is>
      </c>
      <c r="AS13" s="6" t="inlineStr">
        <is>
          <t>AU8</t>
        </is>
      </c>
      <c r="AT13" s="6" t="inlineStr">
        <is>
          <t>BR4</t>
        </is>
      </c>
      <c r="AU13" s="100" t="inlineStr">
        <is>
          <t>-</t>
        </is>
      </c>
      <c r="AV13" s="100" t="inlineStr">
        <is>
          <t>-</t>
        </is>
      </c>
      <c r="AW13" s="6" t="inlineStr">
        <is>
          <t>IN5; IN7; IN13</t>
        </is>
      </c>
      <c r="AX13" s="6" t="inlineStr">
        <is>
          <t>JP5; JP6</t>
        </is>
      </c>
      <c r="AY13" s="6" t="inlineStr">
        <is>
          <t>SG5; MAS 5.4; MAS 5.10 to 5.11; MAS 5.12 to 5.13; MAS 5.16; MAS 5.17; MAS 5.18 to 5.21; MAS 5.22; MAS 5.25; MAS 5.26; MAS 6.3</t>
        </is>
      </c>
      <c r="AZ13" s="100" t="inlineStr">
        <is>
          <t>-</t>
        </is>
      </c>
      <c r="BA13" s="6" t="inlineStr">
        <is>
          <t>HK1; HK5; Risk-commensurate management: materiality and; Risk management frameworks: data within appro</t>
        </is>
      </c>
    </row>
    <row r="14" ht="60" customHeight="1">
      <c r="A14" s="5" t="inlineStr">
        <is>
          <t>AI-R09</t>
        </is>
      </c>
      <c r="B14" s="5" t="inlineStr">
        <is>
          <t>Lack of AI Auditability and Forensic Visibility</t>
        </is>
      </c>
      <c r="C14" s="100" t="inlineStr">
        <is>
          <t>-</t>
        </is>
      </c>
      <c r="D14" s="6" t="inlineStr">
        <is>
          <t>AIR-DET-004; AIR-DET-021</t>
        </is>
      </c>
      <c r="E14" s="6" t="inlineStr">
        <is>
          <t>01 Audit and assurance; 04 Reproducibility and documentation; 07 Monitoring and observability; 07 Incident management; 12 Action integrity and traceability</t>
        </is>
      </c>
      <c r="F14" s="6" t="inlineStr">
        <is>
          <t>GOVERN 1.1; GOVERN 1.5; GOVERN 4.3; GOVERN 5.1; GOVERN 6.2; MEASURE 1.2; MEASURE 1.3; MEASURE 2.4; MEASURE 2.8; MEASURE 3.1; MANAGE 2.3; MANAGE 4.1; MANAGE 4.2; MANAGE 4.3</t>
        </is>
      </c>
      <c r="G14" s="100" t="inlineStr">
        <is>
          <t>-</t>
        </is>
      </c>
      <c r="H14" s="6" t="inlineStr">
        <is>
          <t>CM.1; CM.3; TR.1; TR.3</t>
        </is>
      </c>
      <c r="I14" s="100" t="inlineStr">
        <is>
          <t>-</t>
        </is>
      </c>
      <c r="J14" s="100" t="inlineStr">
        <is>
          <t>-</t>
        </is>
      </c>
      <c r="K14" s="6" t="inlineStr">
        <is>
          <t>MCP08:2025</t>
        </is>
      </c>
      <c r="L14" s="100" t="inlineStr">
        <is>
          <t>-</t>
        </is>
      </c>
      <c r="M14" s="6" t="inlineStr">
        <is>
          <t>AML.M0024</t>
        </is>
      </c>
      <c r="N14" s="100" t="inlineStr">
        <is>
          <t>-</t>
        </is>
      </c>
      <c r="O14" s="6" t="inlineStr">
        <is>
          <t>A.3.3; A.6.2.6; A.6.2.8; A.8.3; A.8.4; A.8.5</t>
        </is>
      </c>
      <c r="P14" s="6" t="inlineStr">
        <is>
          <t>Clause 4.2; Clause 9.1; Clause 9.2; Clause 9.3; Clause 10.2</t>
        </is>
      </c>
      <c r="Q14" s="6" t="inlineStr">
        <is>
          <t>A.5.5; A.5.6; A.5.24; A.5.25; A.5.26; A.5.27; A.5.28; A.5.31; A.5.33; A.5.35; A.5.36; A.5.37; A.6.8; A.8.15; A.8.16; A.8.17</t>
        </is>
      </c>
      <c r="R14" s="6" t="inlineStr">
        <is>
          <t>Clause 9.2</t>
        </is>
      </c>
      <c r="S14" s="100" t="inlineStr">
        <is>
          <t>-</t>
        </is>
      </c>
      <c r="T14" s="100" t="inlineStr">
        <is>
          <t>-</t>
        </is>
      </c>
      <c r="U14" s="6" t="inlineStr">
        <is>
          <t>Access to the documentation of the organizati; Maintaining certification</t>
        </is>
      </c>
      <c r="V14" s="6" t="inlineStr">
        <is>
          <t>Compliance</t>
        </is>
      </c>
      <c r="W14" s="100" t="inlineStr">
        <is>
          <t>-</t>
        </is>
      </c>
      <c r="X14" s="6" t="inlineStr">
        <is>
          <t>6.4.15, 6.4.16</t>
        </is>
      </c>
      <c r="Y14" s="100" t="inlineStr">
        <is>
          <t>-</t>
        </is>
      </c>
      <c r="Z14" s="100" t="inlineStr">
        <is>
          <t>-</t>
        </is>
      </c>
      <c r="AA14" s="100" t="inlineStr">
        <is>
          <t>-</t>
        </is>
      </c>
      <c r="AB14" s="6" t="inlineStr">
        <is>
          <t>GV.OC; GV.OV; ID.IM; PR.PS; DE.CM; DE.AE; RS.MA; RS.AN; RS.CO; RS.MI; RC.RP</t>
        </is>
      </c>
      <c r="AC14" s="6" t="inlineStr">
        <is>
          <t>CIS 8; CIS 13; CIS 17</t>
        </is>
      </c>
      <c r="AD14" s="6" t="inlineStr">
        <is>
          <t>CC2.3; CC4.1; CC4.2; CC7.2; CC7.3; CC7.4; CC7.5</t>
        </is>
      </c>
      <c r="AE14" s="6" t="inlineStr">
        <is>
          <t>PO.5; PS.3; RV.1; RV.2; RV.3</t>
        </is>
      </c>
      <c r="AF14" s="6" t="inlineStr">
        <is>
          <t>12.10.x (incident response); Logging (not numbered; Requirement 10 [Rec...</t>
        </is>
      </c>
      <c r="AG14" s="100" t="inlineStr">
        <is>
          <t>-</t>
        </is>
      </c>
      <c r="AH14" s="6" t="inlineStr">
        <is>
          <t>Principle 1.5</t>
        </is>
      </c>
      <c r="AI14" s="6" t="inlineStr">
        <is>
          <t>Transparency; Accountability</t>
        </is>
      </c>
      <c r="AJ14" s="6" t="inlineStr">
        <is>
          <t>Multi-stakeholder and adaptive governance ...; Responsibility and accountability</t>
        </is>
      </c>
      <c r="AK14" s="6" t="inlineStr">
        <is>
          <t>IEEE 7001-2021</t>
        </is>
      </c>
      <c r="AL14" s="6" t="inlineStr">
        <is>
          <t>Art. 9; Art. 26</t>
        </is>
      </c>
      <c r="AM14" s="6" t="inlineStr">
        <is>
          <t>Action 2; Action 4</t>
        </is>
      </c>
      <c r="AN14" s="6" t="inlineStr">
        <is>
          <t>Breach notification</t>
        </is>
      </c>
      <c r="AO14" s="6" t="inlineStr">
        <is>
          <t>U1; U2; U5; U11; U12; S6; S7; O1</t>
        </is>
      </c>
      <c r="AP14" s="6" t="inlineStr">
        <is>
          <t>E1c; E2; E5; E6; E7</t>
        </is>
      </c>
      <c r="AQ14" s="6" t="inlineStr">
        <is>
          <t>UK2; UK6; UK10</t>
        </is>
      </c>
      <c r="AR14" s="6" t="inlineStr">
        <is>
          <t>US6; US14; US15; US17</t>
        </is>
      </c>
      <c r="AS14" s="6" t="inlineStr">
        <is>
          <t>AU3; AU3a; AU8</t>
        </is>
      </c>
      <c r="AT14" s="6" t="inlineStr">
        <is>
          <t>BR2</t>
        </is>
      </c>
      <c r="AU14" s="6" t="inlineStr">
        <is>
          <t>CA2; CA6</t>
        </is>
      </c>
      <c r="AV14" s="6" t="inlineStr">
        <is>
          <t>CN7</t>
        </is>
      </c>
      <c r="AW14" s="6" t="inlineStr">
        <is>
          <t>IN1; IN2; IN3; IN6; IN7; IN10</t>
        </is>
      </c>
      <c r="AX14" s="6" t="inlineStr">
        <is>
          <t>JP4</t>
        </is>
      </c>
      <c r="AY14" s="6" t="inlineStr">
        <is>
          <t>SG3; SG5; SG7; SG8; MAS 3.5; MAS 5.17; MAS 5.18 to 5.21; MAS 5.23; MAS 5.24</t>
        </is>
      </c>
      <c r="AZ14" s="6" t="inlineStr">
        <is>
          <t>KR7</t>
        </is>
      </c>
      <c r="BA14" s="6" t="inlineStr">
        <is>
          <t>Risk-commensurate management: materiality and</t>
        </is>
      </c>
    </row>
    <row r="15" ht="60" customHeight="1">
      <c r="A15" s="5" t="inlineStr">
        <is>
          <t>AI-R10</t>
        </is>
      </c>
      <c r="B15" s="5" t="inlineStr">
        <is>
          <t>Data Sovereignty and Third-Party Processing Risk</t>
        </is>
      </c>
      <c r="C15" s="6" t="inlineStr">
        <is>
          <t>AIR-RC-001</t>
        </is>
      </c>
      <c r="D15" s="6" t="inlineStr">
        <is>
          <t>AIR-PREV-007; AIR-PREV-014</t>
        </is>
      </c>
      <c r="E15" s="6" t="inlineStr">
        <is>
          <t>03 Privacy and consent; 08 Contractual and licensing; 08 Cross-border; 09 Vendor due diligence</t>
        </is>
      </c>
      <c r="F15" s="6" t="inlineStr">
        <is>
          <t>GOVERN 1.1; GOVERN 5.1; GOVERN 6.1; GOVERN 6.2; MAP 1.1; MAP 4.1; MAP 4.2; MAP 5.1; MEASURE 2.7; MEASURE 2.10; MANAGE 3.1</t>
        </is>
      </c>
      <c r="G15" s="6" t="inlineStr">
        <is>
          <t>Data Privacy</t>
        </is>
      </c>
      <c r="H15" s="6" t="inlineStr">
        <is>
          <t>CM.1; CM.4; RG.1; RG.5</t>
        </is>
      </c>
      <c r="I15" s="6" t="inlineStr">
        <is>
          <t>LLM02:2025; LLM03:2025</t>
        </is>
      </c>
      <c r="J15" s="100" t="inlineStr">
        <is>
          <t>-</t>
        </is>
      </c>
      <c r="K15" s="100" t="inlineStr">
        <is>
          <t>-</t>
        </is>
      </c>
      <c r="L15" s="6" t="inlineStr">
        <is>
          <t>AML.T0010; AML.T0025; AML.T0049; AML.T0055; AML.T0057; AML.T0109; AML.T0132</t>
        </is>
      </c>
      <c r="M15" s="6" t="inlineStr">
        <is>
          <t>AML.M0005; AML.M0012; AML.M0016; AML.M0019</t>
        </is>
      </c>
      <c r="N15" s="100" t="inlineStr">
        <is>
          <t>-</t>
        </is>
      </c>
      <c r="O15" s="6" t="inlineStr">
        <is>
          <t>A.4.5; A.5.2; A.5.3; A.5.4; A.5.5; A.8.3; A.8.5; A.10.2; A.10.3</t>
        </is>
      </c>
      <c r="P15" s="6" t="inlineStr">
        <is>
          <t>Clause 4.2</t>
        </is>
      </c>
      <c r="Q15" s="6" t="inlineStr">
        <is>
          <t>A.5.5; A.5.6; A.5.8; A.5.11; A.5.14; A.5.19; A.5.20; A.5.21; A.5.22; A.5.23; A.5.31; A.5.33; A.5.34; A.8.8; A.8.9; A.8.10; A.8.11; A.8.20; A.8.21; A.8.22; A.8.24</t>
        </is>
      </c>
      <c r="R15" s="100" t="inlineStr">
        <is>
          <t>-</t>
        </is>
      </c>
      <c r="S15" s="100" t="inlineStr">
        <is>
          <t>-</t>
        </is>
      </c>
      <c r="T15" s="6" t="inlineStr">
        <is>
          <t>5.4, 5.12; Approval process; AI system information, including intended and; Data information and quality; Deployment environment (geography, languages,; Relevant interested parties; Actual and reasonably foreseeable impacts, in; Measures to address harms and benefits</t>
        </is>
      </c>
      <c r="U15" s="6" t="inlineStr">
        <is>
          <t>9.1.4 and Annex A</t>
        </is>
      </c>
      <c r="V15" s="6" t="inlineStr">
        <is>
          <t>Governance of data use; Compliance</t>
        </is>
      </c>
      <c r="W15" s="6" t="inlineStr">
        <is>
          <t>AI-specific security threats (data poisoning,; AI-specific privacy threats</t>
        </is>
      </c>
      <c r="X15" s="6" t="inlineStr">
        <is>
          <t>6.1.1, 6.1.2</t>
        </is>
      </c>
      <c r="Y15" s="100" t="inlineStr">
        <is>
          <t>-</t>
        </is>
      </c>
      <c r="Z15" s="100" t="inlineStr">
        <is>
          <t>-</t>
        </is>
      </c>
      <c r="AA15" s="6" t="inlineStr">
        <is>
          <t>5259-3, 9</t>
        </is>
      </c>
      <c r="AB15" s="6" t="inlineStr">
        <is>
          <t>GV.OC; GV.SC; ID.RA; PR.DS; PR.PS; PR.IR; RS.CO</t>
        </is>
      </c>
      <c r="AC15" s="6" t="inlineStr">
        <is>
          <t>CIS 3; CIS 4; CIS 7; CIS 12; CIS 13; CIS 15; CIS 17</t>
        </is>
      </c>
      <c r="AD15" s="6" t="inlineStr">
        <is>
          <t>CC2.3; CC3.2; CC6.1; CC6.6; CC7.1; CC9.2; C1.1; C1.2; P1.1; P3.1; P4.1; P4.2; P5.1</t>
        </is>
      </c>
      <c r="AE15" s="6" t="inlineStr">
        <is>
          <t>PW.4; PW.9</t>
        </is>
      </c>
      <c r="AF15" s="6" t="inlineStr">
        <is>
          <t>12.8.x (third-party service providers); Payment page scripts (not numbered; 6.4.3 ...</t>
        </is>
      </c>
      <c r="AG15" s="6" t="inlineStr">
        <is>
          <t>Adaptation and provenance; Internal and external AI systems</t>
        </is>
      </c>
      <c r="AH15" s="6" t="inlineStr">
        <is>
          <t>Principle 1.2; Principle 1.3</t>
        </is>
      </c>
      <c r="AI15" s="6" t="inlineStr">
        <is>
          <t>Privacy and data governance</t>
        </is>
      </c>
      <c r="AJ15" s="6" t="inlineStr">
        <is>
          <t>Proportionality and do no harm; Right to privacy and data protection; Multi-stakeholder and adaptive governance ...</t>
        </is>
      </c>
      <c r="AK15" s="6" t="inlineStr">
        <is>
          <t>IEEE 7000-2021; IEEE 7002-2022</t>
        </is>
      </c>
      <c r="AL15" s="6" t="inlineStr">
        <is>
          <t>Art. 7; Art. 11; Art. 16; Art. 26</t>
        </is>
      </c>
      <c r="AM15" s="6" t="inlineStr">
        <is>
          <t>Action 4; Action 6; Action 11</t>
        </is>
      </c>
      <c r="AN15" s="6" t="inlineStr">
        <is>
          <t>Automated decisions about individuals; Impact assessment before risky processing; Breach notification; Transfers outside the jurisdiction; Retention and deletion; Requests from individuals; Vendors that process the data</t>
        </is>
      </c>
      <c r="AO15" s="6" t="inlineStr">
        <is>
          <t>U1; U5; U6; U7; U9; U11; S1; S6; S7; S10; Q1; B1; O2</t>
        </is>
      </c>
      <c r="AP15" s="6" t="inlineStr">
        <is>
          <t>E1c; E1e; E2; E3; E4; E6; E9; E13; E15; E17</t>
        </is>
      </c>
      <c r="AQ15" s="6" t="inlineStr">
        <is>
          <t>UK2; UK3; UK4; UK13</t>
        </is>
      </c>
      <c r="AR15" s="6" t="inlineStr">
        <is>
          <t>US5; US8; US9; US15; US16; US17</t>
        </is>
      </c>
      <c r="AS15" s="6" t="inlineStr">
        <is>
          <t>AU2; AU3; AU3a; AU8</t>
        </is>
      </c>
      <c r="AT15" s="6" t="inlineStr">
        <is>
          <t>BR2; BR3; BR4</t>
        </is>
      </c>
      <c r="AU15" s="6" t="inlineStr">
        <is>
          <t>CA2; CA3; CA7</t>
        </is>
      </c>
      <c r="AV15" s="6" t="inlineStr">
        <is>
          <t>CN1; CN2; CN7; CN9</t>
        </is>
      </c>
      <c r="AW15" s="6" t="inlineStr">
        <is>
          <t>IN1; IN2; IN3; IN5; IN7; IN11; IN13</t>
        </is>
      </c>
      <c r="AX15" s="6" t="inlineStr">
        <is>
          <t>JP4; JP6</t>
        </is>
      </c>
      <c r="AY15" s="6" t="inlineStr">
        <is>
          <t>SG4; SG5; MAS 5.4; MAS 5.10 to 5.11; MAS 5.16; MAS 5.22; MAS 6.3</t>
        </is>
      </c>
      <c r="AZ15" s="6" t="inlineStr">
        <is>
          <t>KR7</t>
        </is>
      </c>
      <c r="BA15" s="6" t="inlineStr">
        <is>
          <t>HK1; HK5; HK6; HK7; Risk management frameworks: data within appro; Ethical use and fair treatment: no unfair bia</t>
        </is>
      </c>
    </row>
    <row r="16" ht="60" customHeight="1">
      <c r="A16" s="5" t="inlineStr">
        <is>
          <t>AI-R11</t>
        </is>
      </c>
      <c r="B16" s="5" t="inlineStr">
        <is>
          <t>AI Cost Abuse and Resource Exhaustion</t>
        </is>
      </c>
      <c r="C16" s="100" t="inlineStr">
        <is>
          <t>-</t>
        </is>
      </c>
      <c r="D16" s="6" t="inlineStr">
        <is>
          <t>AIR-DET-009; AIR-PREV-008</t>
        </is>
      </c>
      <c r="E16" s="6" t="inlineStr">
        <is>
          <t>07 Availability and scalability; 11 Cost and compute economics</t>
        </is>
      </c>
      <c r="F16" s="6" t="inlineStr">
        <is>
          <t>MEASURE 2.7; MANAGE 2.3; MANAGE 2.4; MANAGE 4.1</t>
        </is>
      </c>
      <c r="G16" s="100" t="inlineStr">
        <is>
          <t>-</t>
        </is>
      </c>
      <c r="H16" s="6" t="inlineStr">
        <is>
          <t>RG.4</t>
        </is>
      </c>
      <c r="I16" s="6" t="inlineStr">
        <is>
          <t>LLM06:2025; LLM10:2025</t>
        </is>
      </c>
      <c r="J16" s="6" t="inlineStr">
        <is>
          <t>ASI08; ASI10</t>
        </is>
      </c>
      <c r="K16" s="100" t="inlineStr">
        <is>
          <t>-</t>
        </is>
      </c>
      <c r="L16" s="6" t="inlineStr">
        <is>
          <t>AML.T0029; AML.T0034; AML.T0046; AML.T0053</t>
        </is>
      </c>
      <c r="M16" s="6" t="inlineStr">
        <is>
          <t>AML.M0004; AML.M0036; AML.M0037</t>
        </is>
      </c>
      <c r="N16" s="6" t="inlineStr">
        <is>
          <t>NISTAML.014; NISTAML.025; NISTAML.031; 3.5 Security of agents</t>
        </is>
      </c>
      <c r="O16" s="6" t="inlineStr">
        <is>
          <t>A.4.5; A.6.2.6</t>
        </is>
      </c>
      <c r="P16" s="100" t="inlineStr">
        <is>
          <t>-</t>
        </is>
      </c>
      <c r="Q16" s="6" t="inlineStr">
        <is>
          <t>A.5.18; A.5.26; A.8.6; A.8.16</t>
        </is>
      </c>
      <c r="R16" s="100" t="inlineStr">
        <is>
          <t>-</t>
        </is>
      </c>
      <c r="S16" s="100" t="inlineStr">
        <is>
          <t>-</t>
        </is>
      </c>
      <c r="T16" s="100" t="inlineStr">
        <is>
          <t>-</t>
        </is>
      </c>
      <c r="U16" s="100" t="inlineStr">
        <is>
          <t>-</t>
        </is>
      </c>
      <c r="V16" s="100" t="inlineStr">
        <is>
          <t>-</t>
        </is>
      </c>
      <c r="W16" s="6" t="inlineStr">
        <is>
          <t xml:space="preserve">Controllability, including human-in-the-loop </t>
        </is>
      </c>
      <c r="X16" s="100" t="inlineStr">
        <is>
          <t>-</t>
        </is>
      </c>
      <c r="Y16" s="100" t="inlineStr">
        <is>
          <t>-</t>
        </is>
      </c>
      <c r="Z16" s="100" t="inlineStr">
        <is>
          <t>-</t>
        </is>
      </c>
      <c r="AA16" s="100" t="inlineStr">
        <is>
          <t>-</t>
        </is>
      </c>
      <c r="AB16" s="6" t="inlineStr">
        <is>
          <t>PR.IR; DE.CM; RS.MA; RS.MI</t>
        </is>
      </c>
      <c r="AC16" s="6" t="inlineStr">
        <is>
          <t>CIS 6; CIS 17</t>
        </is>
      </c>
      <c r="AD16" s="6" t="inlineStr">
        <is>
          <t>CC6.2; CC7.4; A1.1</t>
        </is>
      </c>
      <c r="AE16" s="100" t="inlineStr">
        <is>
          <t>-</t>
        </is>
      </c>
      <c r="AF16" s="6" t="inlineStr">
        <is>
          <t>6.5.1, with 6.2.4 (change procedures)</t>
        </is>
      </c>
      <c r="AG16" s="6" t="inlineStr">
        <is>
          <t>Human in the loop or over the loop; Cleartext card data (Example 4); Minimise blast radius</t>
        </is>
      </c>
      <c r="AH16" s="6" t="inlineStr">
        <is>
          <t>Principle 1.4</t>
        </is>
      </c>
      <c r="AI16" s="6" t="inlineStr">
        <is>
          <t>Human agency and oversight</t>
        </is>
      </c>
      <c r="AJ16" s="100" t="inlineStr">
        <is>
          <t>-</t>
        </is>
      </c>
      <c r="AK16" s="100" t="inlineStr">
        <is>
          <t>-</t>
        </is>
      </c>
      <c r="AL16" s="100" t="inlineStr">
        <is>
          <t>-</t>
        </is>
      </c>
      <c r="AM16" s="6" t="inlineStr">
        <is>
          <t>Action 2</t>
        </is>
      </c>
      <c r="AN16" s="100" t="inlineStr">
        <is>
          <t>-</t>
        </is>
      </c>
      <c r="AO16" s="6" t="inlineStr">
        <is>
          <t>U9</t>
        </is>
      </c>
      <c r="AP16" s="100" t="inlineStr">
        <is>
          <t>-</t>
        </is>
      </c>
      <c r="AQ16" s="100" t="inlineStr">
        <is>
          <t>-</t>
        </is>
      </c>
      <c r="AR16" s="100" t="inlineStr">
        <is>
          <t>-</t>
        </is>
      </c>
      <c r="AS16" s="100" t="inlineStr">
        <is>
          <t>-</t>
        </is>
      </c>
      <c r="AT16" s="100" t="inlineStr">
        <is>
          <t>-</t>
        </is>
      </c>
      <c r="AU16" s="100" t="inlineStr">
        <is>
          <t>-</t>
        </is>
      </c>
      <c r="AV16" s="100" t="inlineStr">
        <is>
          <t>-</t>
        </is>
      </c>
      <c r="AW16" s="6" t="inlineStr">
        <is>
          <t>IN6; IN13</t>
        </is>
      </c>
      <c r="AX16" s="100" t="inlineStr">
        <is>
          <t>-</t>
        </is>
      </c>
      <c r="AY16" s="6" t="inlineStr">
        <is>
          <t>SG2; SG5; SG7; MAS 5.3</t>
        </is>
      </c>
      <c r="AZ16" s="100" t="inlineStr">
        <is>
          <t>-</t>
        </is>
      </c>
      <c r="BA16" s="6" t="inlineStr">
        <is>
          <t>HK1; HK9; Risk-commensurate management: materiality and</t>
        </is>
      </c>
    </row>
    <row r="17" ht="60" customHeight="1">
      <c r="A17" s="5" t="inlineStr">
        <is>
          <t>AI-R12</t>
        </is>
      </c>
      <c r="B17" s="5" t="inlineStr">
        <is>
          <t>Unreliable or Harmful AI Output</t>
        </is>
      </c>
      <c r="C17" s="6" t="inlineStr">
        <is>
          <t>AIR-OP-004</t>
        </is>
      </c>
      <c r="D17" s="6" t="inlineStr">
        <is>
          <t>AIR-DET-011; AIR-DET-013; AIR-DET-015; AIR-DET-021; AIR-PREV-024</t>
        </is>
      </c>
      <c r="E17" s="6" t="inlineStr">
        <is>
          <t>04 Accuracy and validation; 06 Harmful / inaccurate output; 06 Misuse and dual-use</t>
        </is>
      </c>
      <c r="F17" s="6" t="inlineStr">
        <is>
          <t>GOVERN 1.1; GOVERN 3.2; MAP 1.1; MAP 2.2; MAP 3.5; MAP 5.1; MEASURE 2.5; MEASURE 2.6; MEASURE 2.9; MEASURE 2.11</t>
        </is>
      </c>
      <c r="G17" s="6" t="inlineStr">
        <is>
          <t>CBRN Information or Capabilities; Confabulation; Dangerous, Violent, or Hateful Content; Information Integrity; Obscene, Degrading, and/or Abusive Content</t>
        </is>
      </c>
      <c r="H17" s="6" t="inlineStr">
        <is>
          <t>CM.3; CM.4; TR.2; TR.3</t>
        </is>
      </c>
      <c r="I17" s="6" t="inlineStr">
        <is>
          <t>LLM06:2025; LLM09:2025</t>
        </is>
      </c>
      <c r="J17" s="6" t="inlineStr">
        <is>
          <t>ASI09</t>
        </is>
      </c>
      <c r="K17" s="100" t="inlineStr">
        <is>
          <t>-</t>
        </is>
      </c>
      <c r="L17" s="6" t="inlineStr">
        <is>
          <t>AML.T0048; AML.T0060; AML.T0062</t>
        </is>
      </c>
      <c r="M17" s="6" t="inlineStr">
        <is>
          <t>AML.M0020; AML.M0022; AML.M0029</t>
        </is>
      </c>
      <c r="N17" s="6" t="inlineStr">
        <is>
          <t>NISTAML.027</t>
        </is>
      </c>
      <c r="O17" s="6" t="inlineStr">
        <is>
          <t>A.5.2; A.5.3; A.5.4; A.5.5; A.6.2.4; A.8.2; A.9.2; A.9.3; A.10.4</t>
        </is>
      </c>
      <c r="P17" s="100" t="inlineStr">
        <is>
          <t>-</t>
        </is>
      </c>
      <c r="Q17" s="6" t="inlineStr">
        <is>
          <t>A.5.8; A.5.31; A.5.34</t>
        </is>
      </c>
      <c r="R17" s="100" t="inlineStr">
        <is>
          <t>-</t>
        </is>
      </c>
      <c r="S17" s="100" t="inlineStr">
        <is>
          <t>-</t>
        </is>
      </c>
      <c r="T17" s="6" t="inlineStr">
        <is>
          <t>5.4, 5.12; Approval process; AI system information, including intended and; Data information and quality; Deployment environment (geography, languages,; Relevant interested parties; Actual and reasonably foreseeable impacts, in; Measures to address harms and benefits</t>
        </is>
      </c>
      <c r="U17" s="100" t="inlineStr">
        <is>
          <t>-</t>
        </is>
      </c>
      <c r="V17" s="6" t="inlineStr">
        <is>
          <t>Governance of decision-making</t>
        </is>
      </c>
      <c r="W17" s="6" t="inlineStr">
        <is>
          <t xml:space="preserve">8.4 to 8.6; 9.2, 9.3; Controllability, including human-in-the-loop </t>
        </is>
      </c>
      <c r="X17" s="100" t="inlineStr">
        <is>
          <t>-</t>
        </is>
      </c>
      <c r="Y17" s="100" t="inlineStr">
        <is>
          <t>-</t>
        </is>
      </c>
      <c r="Z17" s="6" t="inlineStr">
        <is>
          <t>Trustworthiness (robustness, reliability, res</t>
        </is>
      </c>
      <c r="AA17" s="100" t="inlineStr">
        <is>
          <t>-</t>
        </is>
      </c>
      <c r="AB17" s="6" t="inlineStr">
        <is>
          <t>GV.OC; GV.RR; ID.RA</t>
        </is>
      </c>
      <c r="AC17" s="100" t="inlineStr">
        <is>
          <t>-</t>
        </is>
      </c>
      <c r="AD17" s="6" t="inlineStr">
        <is>
          <t>CC3.2; PI1.3; PI1.4</t>
        </is>
      </c>
      <c r="AE17" s="100" t="inlineStr">
        <is>
          <t>-</t>
        </is>
      </c>
      <c r="AF17" s="100" t="inlineStr">
        <is>
          <t>-</t>
        </is>
      </c>
      <c r="AG17" s="6" t="inlineStr">
        <is>
          <t>Limits of AI use; Adaptation and provenance; Human in the loop or over the loop; Reliability and failure handling; AI in "individual" and "user" roles</t>
        </is>
      </c>
      <c r="AH17" s="6" t="inlineStr">
        <is>
          <t>Principle 1.2; Principle 1.3</t>
        </is>
      </c>
      <c r="AI17" s="6" t="inlineStr">
        <is>
          <t>Human agency and oversight; Transparency; Diversity, non-discrimination and fairness</t>
        </is>
      </c>
      <c r="AJ17" s="6" t="inlineStr">
        <is>
          <t>Proportionality and do no harm; Transparency and explainability; Human oversight and determination; Fairness and non-discrimination</t>
        </is>
      </c>
      <c r="AK17" s="6" t="inlineStr">
        <is>
          <t>IEEE 7000-2021; IEEE 7001-2021; IEEE 7002-2022; IEEE 7003-2024</t>
        </is>
      </c>
      <c r="AL17" s="6" t="inlineStr">
        <is>
          <t>Art. 7; Art. 8; Art. 10; Art. 12; 14, 15; Art. 16</t>
        </is>
      </c>
      <c r="AM17" s="6" t="inlineStr">
        <is>
          <t>Action 3; Action 7</t>
        </is>
      </c>
      <c r="AN17" s="6" t="inlineStr">
        <is>
          <t>Automated decisions about individuals; Impact assessment before risky processing</t>
        </is>
      </c>
      <c r="AO17" s="6" t="inlineStr">
        <is>
          <t>U3; U4; U6; U9; S2; Q3; Q4</t>
        </is>
      </c>
      <c r="AP17" s="6" t="inlineStr">
        <is>
          <t>E1c; E1d; E10; E16</t>
        </is>
      </c>
      <c r="AQ17" s="6" t="inlineStr">
        <is>
          <t>UK1; UK3; UK4; UK7; UK11; UK12; UK13</t>
        </is>
      </c>
      <c r="AR17" s="6" t="inlineStr">
        <is>
          <t>US5; US7; US8; US10; US11; US12; US14; US15; US16</t>
        </is>
      </c>
      <c r="AS17" s="6" t="inlineStr">
        <is>
          <t>AU2; AU6; AU6a</t>
        </is>
      </c>
      <c r="AT17" s="6" t="inlineStr">
        <is>
          <t>BR1; BR4</t>
        </is>
      </c>
      <c r="AU17" s="6" t="inlineStr">
        <is>
          <t>CA3; CA4; CA5; CA7</t>
        </is>
      </c>
      <c r="AV17" s="6" t="inlineStr">
        <is>
          <t>CN1; CN2; CN3; CN4; CN5; CN6</t>
        </is>
      </c>
      <c r="AW17" s="6" t="inlineStr">
        <is>
          <t>IN4; IN5; IN6; IN9; IN13</t>
        </is>
      </c>
      <c r="AX17" s="6" t="inlineStr">
        <is>
          <t>JP3</t>
        </is>
      </c>
      <c r="AY17" s="6" t="inlineStr">
        <is>
          <t>SG1; SG3; SG5; SG6; MAS 5.5 to 5.6; MAS 5.7 to 5.8; MAS 5.9; MAS 5.14 to 5.15</t>
        </is>
      </c>
      <c r="AZ17" s="6" t="inlineStr">
        <is>
          <t>KR2; KR3</t>
        </is>
      </c>
      <c r="BA17" s="6" t="inlineStr">
        <is>
          <t>HK1; HK3; HK4; HK6; Use-case owners and human oversight: a named ; Accountability for outputs: controls against ; Explainability and transparency: document exp; Ethical use and fair treatment: no unfair bia</t>
        </is>
      </c>
    </row>
    <row r="18" ht="60" customHeight="1">
      <c r="A18" s="5" t="inlineStr">
        <is>
          <t>AI-R13</t>
        </is>
      </c>
      <c r="B18" s="5" t="inlineStr">
        <is>
          <t>AI Service Disruption and Dependency Failure</t>
        </is>
      </c>
      <c r="C18" s="6" t="inlineStr">
        <is>
          <t>AIR-OP-007</t>
        </is>
      </c>
      <c r="D18" s="6" t="inlineStr">
        <is>
          <t>AIR-PREV-008</t>
        </is>
      </c>
      <c r="E18" s="6" t="inlineStr">
        <is>
          <t>07 Availability and scalability; 11 Scaling and resource constraints</t>
        </is>
      </c>
      <c r="F18" s="6" t="inlineStr">
        <is>
          <t>GOVERN 6.2; MEASURE 2.7; MANAGE 2.3</t>
        </is>
      </c>
      <c r="G18" s="100" t="inlineStr">
        <is>
          <t>-</t>
        </is>
      </c>
      <c r="H18" s="100" t="inlineStr">
        <is>
          <t>-</t>
        </is>
      </c>
      <c r="I18" s="100" t="inlineStr">
        <is>
          <t>-</t>
        </is>
      </c>
      <c r="J18" s="100" t="inlineStr">
        <is>
          <t>-</t>
        </is>
      </c>
      <c r="K18" s="100" t="inlineStr">
        <is>
          <t>-</t>
        </is>
      </c>
      <c r="L18" s="6" t="inlineStr">
        <is>
          <t>AML.T0029</t>
        </is>
      </c>
      <c r="M18" s="6" t="inlineStr">
        <is>
          <t>AML.M0036</t>
        </is>
      </c>
      <c r="N18" s="6" t="inlineStr">
        <is>
          <t>NISTAML.014</t>
        </is>
      </c>
      <c r="O18" s="6" t="inlineStr">
        <is>
          <t>A.4.5; A.6.2.6</t>
        </is>
      </c>
      <c r="P18" s="100" t="inlineStr">
        <is>
          <t>-</t>
        </is>
      </c>
      <c r="Q18" s="6" t="inlineStr">
        <is>
          <t>A.5.29; A.5.30; A.8.6; A.8.13; A.8.14</t>
        </is>
      </c>
      <c r="R18" s="100" t="inlineStr">
        <is>
          <t>-</t>
        </is>
      </c>
      <c r="S18" s="100" t="inlineStr">
        <is>
          <t>-</t>
        </is>
      </c>
      <c r="T18" s="100" t="inlineStr">
        <is>
          <t>-</t>
        </is>
      </c>
      <c r="U18" s="100" t="inlineStr">
        <is>
          <t>-</t>
        </is>
      </c>
      <c r="V18" s="100" t="inlineStr">
        <is>
          <t>-</t>
        </is>
      </c>
      <c r="W18" s="100" t="inlineStr">
        <is>
          <t>-</t>
        </is>
      </c>
      <c r="X18" s="6" t="inlineStr">
        <is>
          <t>6.4.15, 6.4.16</t>
        </is>
      </c>
      <c r="Y18" s="100" t="inlineStr">
        <is>
          <t>-</t>
        </is>
      </c>
      <c r="Z18" s="6" t="inlineStr">
        <is>
          <t>Trustworthiness (robustness, reliability, res</t>
        </is>
      </c>
      <c r="AA18" s="100" t="inlineStr">
        <is>
          <t>-</t>
        </is>
      </c>
      <c r="AB18" s="6" t="inlineStr">
        <is>
          <t>PR.IR; RC.RP</t>
        </is>
      </c>
      <c r="AC18" s="6" t="inlineStr">
        <is>
          <t>CIS 11</t>
        </is>
      </c>
      <c r="AD18" s="6" t="inlineStr">
        <is>
          <t>CC9.1; A1.1; A1.2; A1.3</t>
        </is>
      </c>
      <c r="AE18" s="100" t="inlineStr">
        <is>
          <t>-</t>
        </is>
      </c>
      <c r="AF18" s="100" t="inlineStr">
        <is>
          <t>-</t>
        </is>
      </c>
      <c r="AG18" s="100" t="inlineStr">
        <is>
          <t>-</t>
        </is>
      </c>
      <c r="AH18" s="6" t="inlineStr">
        <is>
          <t>Principle 1.4</t>
        </is>
      </c>
      <c r="AI18" s="6" t="inlineStr">
        <is>
          <t>Technical robustness and safety</t>
        </is>
      </c>
      <c r="AJ18" s="6" t="inlineStr">
        <is>
          <t>Safety and security</t>
        </is>
      </c>
      <c r="AK18" s="100" t="inlineStr">
        <is>
          <t>-</t>
        </is>
      </c>
      <c r="AL18" s="6" t="inlineStr">
        <is>
          <t>Art. 12</t>
        </is>
      </c>
      <c r="AM18" s="100" t="inlineStr">
        <is>
          <t>-</t>
        </is>
      </c>
      <c r="AN18" s="100" t="inlineStr">
        <is>
          <t>-</t>
        </is>
      </c>
      <c r="AO18" s="100" t="inlineStr">
        <is>
          <t>-</t>
        </is>
      </c>
      <c r="AP18" s="100" t="inlineStr">
        <is>
          <t>-</t>
        </is>
      </c>
      <c r="AQ18" s="100" t="inlineStr">
        <is>
          <t>-</t>
        </is>
      </c>
      <c r="AR18" s="100" t="inlineStr">
        <is>
          <t>-</t>
        </is>
      </c>
      <c r="AS18" s="100" t="inlineStr">
        <is>
          <t>-</t>
        </is>
      </c>
      <c r="AT18" s="100" t="inlineStr">
        <is>
          <t>-</t>
        </is>
      </c>
      <c r="AU18" s="100" t="inlineStr">
        <is>
          <t>-</t>
        </is>
      </c>
      <c r="AV18" s="100" t="inlineStr">
        <is>
          <t>-</t>
        </is>
      </c>
      <c r="AW18" s="100" t="inlineStr">
        <is>
          <t>-</t>
        </is>
      </c>
      <c r="AX18" s="100" t="inlineStr">
        <is>
          <t>-</t>
        </is>
      </c>
      <c r="AY18" s="6" t="inlineStr">
        <is>
          <t>SG5; MAS 5.3; MAS 5.10 to 5.11; MAS 6.3</t>
        </is>
      </c>
      <c r="AZ18" s="100" t="inlineStr">
        <is>
          <t>-</t>
        </is>
      </c>
      <c r="BA18" s="6" t="inlineStr">
        <is>
          <t>Risk-commensurate management: materiality and</t>
        </is>
      </c>
    </row>
    <row r="19" ht="60" customHeight="1">
      <c r="A19" s="5" t="inlineStr">
        <is>
          <t>AI-R14</t>
        </is>
      </c>
      <c r="B19" s="5" t="inlineStr">
        <is>
          <t>Biased or Discriminatory AI Outcomes</t>
        </is>
      </c>
      <c r="C19" s="6" t="inlineStr">
        <is>
          <t>AIR-OP-016</t>
        </is>
      </c>
      <c r="D19" s="6" t="inlineStr">
        <is>
          <t>AIR-DET-011; AIR-DET-013; AIR-DET-015; AIR-DET-021; AIR-PREV-005; AIR-PREV-024</t>
        </is>
      </c>
      <c r="E19" s="6" t="inlineStr">
        <is>
          <t>06 Bias and fairness</t>
        </is>
      </c>
      <c r="F19" s="6" t="inlineStr">
        <is>
          <t>GOVERN 3.2; GOVERN 4.2; MAP 2.2; MAP 3.5; MAP 5.1; MEASURE 2.5; MEASURE 2.6; MEASURE 2.7; MEASURE 2.9; MEASURE 2.11; MANAGE 1.1</t>
        </is>
      </c>
      <c r="G19" s="6" t="inlineStr">
        <is>
          <t>Harmful Bias or Homogenization</t>
        </is>
      </c>
      <c r="H19" s="6" t="inlineStr">
        <is>
          <t>CM.3; TR.2; TR.3</t>
        </is>
      </c>
      <c r="I19" s="6" t="inlineStr">
        <is>
          <t>LLM06:2025; LLM09:2025</t>
        </is>
      </c>
      <c r="J19" s="6" t="inlineStr">
        <is>
          <t>ASI09</t>
        </is>
      </c>
      <c r="K19" s="100" t="inlineStr">
        <is>
          <t>-</t>
        </is>
      </c>
      <c r="L19" s="6" t="inlineStr">
        <is>
          <t>AML.T0048; AML.T0060; AML.T0062</t>
        </is>
      </c>
      <c r="M19" s="6" t="inlineStr">
        <is>
          <t>AML.M0020; AML.M0022; AML.M0029</t>
        </is>
      </c>
      <c r="N19" s="6" t="inlineStr">
        <is>
          <t>NISTAML.027</t>
        </is>
      </c>
      <c r="O19" s="6" t="inlineStr">
        <is>
          <t>A.5.2; A.5.4; A.6.1.2; A.6.1.3; A.6.2.2; A.6.2.4; A.6.2.5; A.8.2; A.9.2; A.9.3; A.10.4</t>
        </is>
      </c>
      <c r="P19" s="100" t="inlineStr">
        <is>
          <t>-</t>
        </is>
      </c>
      <c r="Q19" s="6" t="inlineStr">
        <is>
          <t>A.5.8; A.8.25; A.8.27; A.8.29; A.8.32</t>
        </is>
      </c>
      <c r="R19" s="100" t="inlineStr">
        <is>
          <t>-</t>
        </is>
      </c>
      <c r="S19" s="100" t="inlineStr">
        <is>
          <t>-</t>
        </is>
      </c>
      <c r="T19" s="6" t="inlineStr">
        <is>
          <t>Relevant interested parties</t>
        </is>
      </c>
      <c r="U19" s="100" t="inlineStr">
        <is>
          <t>-</t>
        </is>
      </c>
      <c r="V19" s="6" t="inlineStr">
        <is>
          <t>Governance of decision-making</t>
        </is>
      </c>
      <c r="W19" s="6" t="inlineStr">
        <is>
          <t>8.4 to 8.6; 9.2, 9.3; Controllability, including human-in-the-loop ; Testing and evaluation</t>
        </is>
      </c>
      <c r="X19" s="6" t="inlineStr">
        <is>
          <t>6.4.11, 6.4.13</t>
        </is>
      </c>
      <c r="Y19" s="100" t="inlineStr">
        <is>
          <t>-</t>
        </is>
      </c>
      <c r="Z19" s="6" t="inlineStr">
        <is>
          <t>Trustworthiness (robustness, reliability, res</t>
        </is>
      </c>
      <c r="AA19" s="100" t="inlineStr">
        <is>
          <t>-</t>
        </is>
      </c>
      <c r="AB19" s="6" t="inlineStr">
        <is>
          <t>GV.RR; ID.RA; PR.PS</t>
        </is>
      </c>
      <c r="AC19" s="6" t="inlineStr">
        <is>
          <t>CIS 16</t>
        </is>
      </c>
      <c r="AD19" s="6" t="inlineStr">
        <is>
          <t>CC3.4; CC8.1; PI1.3; PI1.4</t>
        </is>
      </c>
      <c r="AE19" s="6" t="inlineStr">
        <is>
          <t>PO.1; PO.4; PW.1; PW.2; PW.7</t>
        </is>
      </c>
      <c r="AF19" s="6" t="inlineStr">
        <is>
          <t>6.2.3 and 6.2.3.1 (code review); 6.5.1, with 6.2.4 (change procedures)</t>
        </is>
      </c>
      <c r="AG19" s="6" t="inlineStr">
        <is>
          <t>Limits of AI use; Requirements, scoping and threat modelling; Evaluation of deployment controls; Human in the loop or over the loop; Reliability and failure handling; AI in "individual" and "user" roles</t>
        </is>
      </c>
      <c r="AH19" s="6" t="inlineStr">
        <is>
          <t>Principle 1.2; Principle 1.3</t>
        </is>
      </c>
      <c r="AI19" s="6" t="inlineStr">
        <is>
          <t>Human agency and oversight; Transparency; Diversity, non-discrimination and fairness</t>
        </is>
      </c>
      <c r="AJ19" s="6" t="inlineStr">
        <is>
          <t>Transparency and explainability; Human oversight and determination; Fairness and non-discrimination</t>
        </is>
      </c>
      <c r="AK19" s="6" t="inlineStr">
        <is>
          <t>IEEE 7000-2021; IEEE 7001-2021; IEEE 7003-2024</t>
        </is>
      </c>
      <c r="AL19" s="6" t="inlineStr">
        <is>
          <t>Art. 7; Art. 8; Art. 10; Art. 12; 14, 15</t>
        </is>
      </c>
      <c r="AM19" s="6" t="inlineStr">
        <is>
          <t>Action 1; Action 3; Action 7</t>
        </is>
      </c>
      <c r="AN19" s="6" t="inlineStr">
        <is>
          <t>Automated decisions about individuals</t>
        </is>
      </c>
      <c r="AO19" s="6" t="inlineStr">
        <is>
          <t>U3; U4; U6; U9; S2; Q3; Q4</t>
        </is>
      </c>
      <c r="AP19" s="6" t="inlineStr">
        <is>
          <t>E1c; E1d; E10; E16</t>
        </is>
      </c>
      <c r="AQ19" s="6" t="inlineStr">
        <is>
          <t>UK1; UK3; UK4; UK7; UK11; UK12; UK13</t>
        </is>
      </c>
      <c r="AR19" s="6" t="inlineStr">
        <is>
          <t>US5; US7; US8; US10; US11; US12; US14; US15; US16</t>
        </is>
      </c>
      <c r="AS19" s="6" t="inlineStr">
        <is>
          <t>AU2; AU6; AU6a</t>
        </is>
      </c>
      <c r="AT19" s="6" t="inlineStr">
        <is>
          <t>BR1; BR4</t>
        </is>
      </c>
      <c r="AU19" s="6" t="inlineStr">
        <is>
          <t>CA3; CA4; CA5; CA7</t>
        </is>
      </c>
      <c r="AV19" s="6" t="inlineStr">
        <is>
          <t>CN1; CN2; CN3; CN4; CN5; CN6</t>
        </is>
      </c>
      <c r="AW19" s="6" t="inlineStr">
        <is>
          <t>IN4; IN5; IN6; IN9; IN13</t>
        </is>
      </c>
      <c r="AX19" s="6" t="inlineStr">
        <is>
          <t>JP3</t>
        </is>
      </c>
      <c r="AY19" s="6" t="inlineStr">
        <is>
          <t>SG1; SG3; SG5; SG6; MAS 5.5 to 5.6; MAS 5.7 to 5.8; MAS 5.9; MAS 5.12 to 5.13; MAS 5.14 to 5.15; MAS 5.18 to 5.21; MAS 5.22; MAS 5.25</t>
        </is>
      </c>
      <c r="AZ19" s="6" t="inlineStr">
        <is>
          <t>KR2; KR3</t>
        </is>
      </c>
      <c r="BA19" s="6" t="inlineStr">
        <is>
          <t>HK1; HK3; HK4; HK6; Use-case owners and human oversight: a named ; Risk-commensurate management: materiality and; Accountability for outputs: controls against ; Explainability and transparency: document exp; Ethical use and fair treatment: no unfair bia</t>
        </is>
      </c>
    </row>
    <row r="20" ht="60" customHeight="1">
      <c r="A20" s="5" t="inlineStr">
        <is>
          <t>AI-R15</t>
        </is>
      </c>
      <c r="B20" s="5" t="inlineStr">
        <is>
          <t>Lack of Explainability and Decision Traceability</t>
        </is>
      </c>
      <c r="C20" s="6" t="inlineStr">
        <is>
          <t>AIR-OP-017</t>
        </is>
      </c>
      <c r="D20" s="6" t="inlineStr">
        <is>
          <t>AIR-DET-004; AIR-DET-021</t>
        </is>
      </c>
      <c r="E20" s="6" t="inlineStr">
        <is>
          <t>04 Explainability; 04 Reproducibility and documentation</t>
        </is>
      </c>
      <c r="F20" s="6" t="inlineStr">
        <is>
          <t>GOVERN 1.5; MAP 5.1; MEASURE 1.2; MEASURE 1.3; MEASURE 2.4; MEASURE 2.8; MEASURE 2.9; MEASURE 2.11; MANAGE 4.1; MANAGE 4.2</t>
        </is>
      </c>
      <c r="G20" s="100" t="inlineStr">
        <is>
          <t>-</t>
        </is>
      </c>
      <c r="H20" s="6" t="inlineStr">
        <is>
          <t>CM.3; TR.1; TR.3</t>
        </is>
      </c>
      <c r="I20" s="100" t="inlineStr">
        <is>
          <t>-</t>
        </is>
      </c>
      <c r="J20" s="100" t="inlineStr">
        <is>
          <t>-</t>
        </is>
      </c>
      <c r="K20" s="100" t="inlineStr">
        <is>
          <t>-</t>
        </is>
      </c>
      <c r="L20" s="100" t="inlineStr">
        <is>
          <t>-</t>
        </is>
      </c>
      <c r="M20" s="6" t="inlineStr">
        <is>
          <t>AML.M0024</t>
        </is>
      </c>
      <c r="N20" s="100" t="inlineStr">
        <is>
          <t>-</t>
        </is>
      </c>
      <c r="O20" s="6" t="inlineStr">
        <is>
          <t>A.5.4; A.6.2.4; A.6.2.8; A.8.2; A.10.4</t>
        </is>
      </c>
      <c r="P20" s="6" t="inlineStr">
        <is>
          <t>Clause 9.1; Clause 9.2; Clause 9.3; Clause 10.2</t>
        </is>
      </c>
      <c r="Q20" s="6" t="inlineStr">
        <is>
          <t>A.5.28; A.5.33; A.5.35; A.5.36; A.8.15; A.8.17</t>
        </is>
      </c>
      <c r="R20" s="6" t="inlineStr">
        <is>
          <t>Clause 9.2</t>
        </is>
      </c>
      <c r="S20" s="100" t="inlineStr">
        <is>
          <t>-</t>
        </is>
      </c>
      <c r="T20" s="6" t="inlineStr">
        <is>
          <t>Relevant interested parties</t>
        </is>
      </c>
      <c r="U20" s="6" t="inlineStr">
        <is>
          <t>Access to the documentation of the organizati; Maintaining certification</t>
        </is>
      </c>
      <c r="V20" s="100" t="inlineStr">
        <is>
          <t>-</t>
        </is>
      </c>
      <c r="W20" s="6" t="inlineStr">
        <is>
          <t>8.4 to 8.6; 9.2, 9.3</t>
        </is>
      </c>
      <c r="X20" s="100" t="inlineStr">
        <is>
          <t>-</t>
        </is>
      </c>
      <c r="Y20" s="100" t="inlineStr">
        <is>
          <t>-</t>
        </is>
      </c>
      <c r="Z20" s="6" t="inlineStr">
        <is>
          <t>Trustworthiness (robustness, reliability, res</t>
        </is>
      </c>
      <c r="AA20" s="100" t="inlineStr">
        <is>
          <t>-</t>
        </is>
      </c>
      <c r="AB20" s="6" t="inlineStr">
        <is>
          <t>GV.OV; ID.IM; PR.PS; DE.CM</t>
        </is>
      </c>
      <c r="AC20" s="6" t="inlineStr">
        <is>
          <t>CIS 8</t>
        </is>
      </c>
      <c r="AD20" s="6" t="inlineStr">
        <is>
          <t>CC4.1; CC4.2; CC7.2</t>
        </is>
      </c>
      <c r="AE20" s="6" t="inlineStr">
        <is>
          <t>PS.3</t>
        </is>
      </c>
      <c r="AF20" s="6" t="inlineStr">
        <is>
          <t>Logging (not numbered; Requirement 10 [Rec...</t>
        </is>
      </c>
      <c r="AG20" s="100" t="inlineStr">
        <is>
          <t>-</t>
        </is>
      </c>
      <c r="AH20" s="6" t="inlineStr">
        <is>
          <t>Principle 1.2; Principle 1.3; Principle 1.5</t>
        </is>
      </c>
      <c r="AI20" s="6" t="inlineStr">
        <is>
          <t>Transparency; Diversity, non-discrimination and fairness; Accountability</t>
        </is>
      </c>
      <c r="AJ20" s="6" t="inlineStr">
        <is>
          <t>Responsibility and accountability; Transparency and explainability; Fairness and non-discrimination</t>
        </is>
      </c>
      <c r="AK20" s="6" t="inlineStr">
        <is>
          <t>IEEE 7001-2021; IEEE 7003-2024</t>
        </is>
      </c>
      <c r="AL20" s="6" t="inlineStr">
        <is>
          <t>Art. 9; Art. 10</t>
        </is>
      </c>
      <c r="AM20" s="100" t="inlineStr">
        <is>
          <t>-</t>
        </is>
      </c>
      <c r="AN20" s="6" t="inlineStr">
        <is>
          <t>Automated decisions about individuals</t>
        </is>
      </c>
      <c r="AO20" s="6" t="inlineStr">
        <is>
          <t>U4; U5; U6; U9; U11; U12; S2; S6; S7; Q3; Q4; O1</t>
        </is>
      </c>
      <c r="AP20" s="6" t="inlineStr">
        <is>
          <t>E1c; E7</t>
        </is>
      </c>
      <c r="AQ20" s="6" t="inlineStr">
        <is>
          <t>UK1; UK3; UK4; UK6; UK10; UK12; UK13</t>
        </is>
      </c>
      <c r="AR20" s="6" t="inlineStr">
        <is>
          <t>US5; US6; US8; US10; US11; US12; US14; US15; US16</t>
        </is>
      </c>
      <c r="AS20" s="6" t="inlineStr">
        <is>
          <t>AU2; AU6; AU6a</t>
        </is>
      </c>
      <c r="AT20" s="6" t="inlineStr">
        <is>
          <t>BR1</t>
        </is>
      </c>
      <c r="AU20" s="6" t="inlineStr">
        <is>
          <t>CA3; CA6</t>
        </is>
      </c>
      <c r="AV20" s="6" t="inlineStr">
        <is>
          <t>CN5</t>
        </is>
      </c>
      <c r="AW20" s="6" t="inlineStr">
        <is>
          <t>IN4; IN5; IN6; IN7</t>
        </is>
      </c>
      <c r="AX20" s="6" t="inlineStr">
        <is>
          <t>JP3</t>
        </is>
      </c>
      <c r="AY20" s="6" t="inlineStr">
        <is>
          <t>SG3; SG5; SG6; SG7; MAS 5.5 to 5.6; MAS 5.7 to 5.8; MAS 5.14 to 5.15; MAS 5.17; MAS 5.18 to 5.21; MAS 5.23; MAS 5.24</t>
        </is>
      </c>
      <c r="AZ20" s="6" t="inlineStr">
        <is>
          <t>KR3</t>
        </is>
      </c>
      <c r="BA20" s="6" t="inlineStr">
        <is>
          <t>HK1; HK3; HK4; Risk-commensurate management: materiality and; Explainability and transparency: document exp; Ethical use and fair treatment: no unfair bia</t>
        </is>
      </c>
    </row>
    <row r="21" ht="60" customHeight="1">
      <c r="A21" s="5" t="inlineStr">
        <is>
          <t>AI-R16</t>
        </is>
      </c>
      <c r="B21" s="5" t="inlineStr">
        <is>
          <t>Foundation Model Version Change and Non-Deterministic Behaviour</t>
        </is>
      </c>
      <c r="C21" s="6" t="inlineStr">
        <is>
          <t>AIR-OP-005; AIR-OP-006</t>
        </is>
      </c>
      <c r="D21" s="6" t="inlineStr">
        <is>
          <t>AIR-DET-011; AIR-DET-015; AIR-PREV-005; AIR-PREV-007; AIR-PREV-008; AIR-PREV-010; AIR-PREV-025</t>
        </is>
      </c>
      <c r="E21" s="6" t="inlineStr">
        <is>
          <t>04 Robustness and drift; 06 Transparency, disclosure and provenance; 07 MLOps and deployment; 07 Change and lifecycle management</t>
        </is>
      </c>
      <c r="F21" s="6" t="inlineStr">
        <is>
          <t>GOVERN 4.2; GOVERN 4.3; GOVERN 6.1; GOVERN 6.2; MAP 4.1; MEASURE 2.1; MEASURE 2.6; MEASURE 2.7; MANAGE 1.1; MANAGE 2.3; MANAGE 3.1; MANAGE 3.2</t>
        </is>
      </c>
      <c r="G21" s="100" t="inlineStr">
        <is>
          <t>-</t>
        </is>
      </c>
      <c r="H21" s="6" t="inlineStr">
        <is>
          <t>RG.1; RG.5; TR.1</t>
        </is>
      </c>
      <c r="I21" s="6" t="inlineStr">
        <is>
          <t>LLM01:2025; LLM02:2025; LLM03:2025; LLM04:2025; LLM05:2025; LLM06:2025; LLM07:2025; LLM08:2025; LLM09:2025; LLM10:2025</t>
        </is>
      </c>
      <c r="J21" s="100" t="inlineStr">
        <is>
          <t>-</t>
        </is>
      </c>
      <c r="K21" s="100" t="inlineStr">
        <is>
          <t>-</t>
        </is>
      </c>
      <c r="L21" s="6" t="inlineStr">
        <is>
          <t>AML.T0010; AML.T0029; AML.T0109; AML.T0111; AML.T0115</t>
        </is>
      </c>
      <c r="M21" s="6" t="inlineStr">
        <is>
          <t>AML.M0014; AML.M0016; AML.M0023; AML.M0035; AML.M0036</t>
        </is>
      </c>
      <c r="N21" s="6" t="inlineStr">
        <is>
          <t>NISTAML.011; NISTAML.012; NISTAML.013; NISTAML.014; NISTAML.018; NISTAML.021; NISTAML.022; NISTAML.023; NISTAML.024; NISTAML.025; NISTAML.026; NISTAML.027; NISTAML.032; NISTAML.033; NISTAML.051; 3.6 Benchmarks for AML vulnerabilities</t>
        </is>
      </c>
      <c r="O21" s="6" t="inlineStr">
        <is>
          <t>A.4.2; A.4.5; A.5.2; A.6.1.2; A.6.1.3; A.6.2.2; A.6.2.4; A.6.2.5; A.6.2.6; A.6.2.7; A.7.5; A.10.2; A.10.3</t>
        </is>
      </c>
      <c r="P21" s="100" t="inlineStr">
        <is>
          <t>-</t>
        </is>
      </c>
      <c r="Q21" s="6" t="inlineStr">
        <is>
          <t>A.5.7; A.5.8; A.5.9; A.5.11; A.5.19; A.5.20; A.5.21; A.5.22; A.5.23; A.5.29; A.5.30; A.8.6; A.8.8; A.8.13; A.8.14; A.8.19; A.8.25; A.8.27; A.8.29; A.8.30; A.8.32; A.8.34</t>
        </is>
      </c>
      <c r="R21" s="100" t="inlineStr">
        <is>
          <t>-</t>
        </is>
      </c>
      <c r="S21" s="100" t="inlineStr">
        <is>
          <t>-</t>
        </is>
      </c>
      <c r="T21" s="100" t="inlineStr">
        <is>
          <t>-</t>
        </is>
      </c>
      <c r="U21" s="6" t="inlineStr">
        <is>
          <t>9.1.4 and Annex A</t>
        </is>
      </c>
      <c r="V21" s="100" t="inlineStr">
        <is>
          <t>-</t>
        </is>
      </c>
      <c r="W21" s="6" t="inlineStr">
        <is>
          <t>AI-specific security threats (data poisoning,; Testing and evaluation</t>
        </is>
      </c>
      <c r="X21" s="6" t="inlineStr">
        <is>
          <t>6.1.1, 6.1.2; 6.3.4, 6.3.5; 6.4.11, 6.4.13; Continuous validation process; 6.4.15, 6.4.16</t>
        </is>
      </c>
      <c r="Y21" s="6" t="inlineStr">
        <is>
          <t>8.4, 8.5</t>
        </is>
      </c>
      <c r="Z21" s="6" t="inlineStr">
        <is>
          <t>Trustworthiness (robustness, reliability, res</t>
        </is>
      </c>
      <c r="AA21" s="6" t="inlineStr">
        <is>
          <t>5259-3, 9</t>
        </is>
      </c>
      <c r="AB21" s="6" t="inlineStr">
        <is>
          <t>GV.SC; ID.AM; ID.RA; ID.IM; PR.PS; PR.IR; RC.RP</t>
        </is>
      </c>
      <c r="AC21" s="6" t="inlineStr">
        <is>
          <t>CIS 2; CIS 7; CIS 11; CIS 15; CIS 16; CIS 18</t>
        </is>
      </c>
      <c r="AD21" s="6" t="inlineStr">
        <is>
          <t>CC3.4; CC4.1; CC7.1; CC8.1; CC9.1; CC9.2; A1.1; A1.2; A1.3</t>
        </is>
      </c>
      <c r="AE21" s="6" t="inlineStr">
        <is>
          <t>PO.1; PO.4; PS.2; PS.3; PW.1; PW.2; PW.4; PW.7; PW.8; RV.1</t>
        </is>
      </c>
      <c r="AF21" s="6" t="inlineStr">
        <is>
          <t>6.2.3 and 6.2.3.1 (code review); 6.5.1, with 6.2.4 (change procedures); 12.5.1 (inventory of system components); 12.8.x (third-party service providers); Targeted risk analysis (not numbered in th...; Penetration and segmentation testing (not ...; Payment page scripts (not numbered; 6.4.3 ...</t>
        </is>
      </c>
      <c r="AG21" s="6" t="inlineStr">
        <is>
          <t>AI system inputs and functional limitations; Requirements, scoping and threat modelling; Adaptation and provenance; Evaluation of deployment controls; Use, monitoring and revalidation; Internal and external AI systems; AI inventory and AI-BOM; AI software development</t>
        </is>
      </c>
      <c r="AH21" s="6" t="inlineStr">
        <is>
          <t>Principle 1.4</t>
        </is>
      </c>
      <c r="AI21" s="6" t="inlineStr">
        <is>
          <t>Technical robustness and safety</t>
        </is>
      </c>
      <c r="AJ21" s="6" t="inlineStr">
        <is>
          <t>Safety and security</t>
        </is>
      </c>
      <c r="AK21" s="6" t="inlineStr">
        <is>
          <t>IEEE 7000-2021</t>
        </is>
      </c>
      <c r="AL21" s="6" t="inlineStr">
        <is>
          <t>Art. 12</t>
        </is>
      </c>
      <c r="AM21" s="6" t="inlineStr">
        <is>
          <t>Action 1; Action 2</t>
        </is>
      </c>
      <c r="AN21" s="6" t="inlineStr">
        <is>
          <t>Vendors that process the data</t>
        </is>
      </c>
      <c r="AO21" s="6" t="inlineStr">
        <is>
          <t>U9; Q4</t>
        </is>
      </c>
      <c r="AP21" s="6" t="inlineStr">
        <is>
          <t>E1c; E1e; E6; E9; E13; E15</t>
        </is>
      </c>
      <c r="AQ21" s="100" t="inlineStr">
        <is>
          <t>-</t>
        </is>
      </c>
      <c r="AR21" s="6" t="inlineStr">
        <is>
          <t>US15; US16; US17</t>
        </is>
      </c>
      <c r="AS21" s="6" t="inlineStr">
        <is>
          <t>AU8</t>
        </is>
      </c>
      <c r="AT21" s="6" t="inlineStr">
        <is>
          <t>BR4</t>
        </is>
      </c>
      <c r="AU21" s="100" t="inlineStr">
        <is>
          <t>-</t>
        </is>
      </c>
      <c r="AV21" s="100" t="inlineStr">
        <is>
          <t>-</t>
        </is>
      </c>
      <c r="AW21" s="6" t="inlineStr">
        <is>
          <t>IN5; IN7; IN13</t>
        </is>
      </c>
      <c r="AX21" s="6" t="inlineStr">
        <is>
          <t>JP6</t>
        </is>
      </c>
      <c r="AY21" s="6" t="inlineStr">
        <is>
          <t>SG5; MAS 5.3; MAS 5.10 to 5.11; MAS 5.12 to 5.13; MAS 5.14 to 5.15; MAS 5.18 to 5.21; MAS 5.22; MAS 5.24; MAS 5.25; MAS 6.3</t>
        </is>
      </c>
      <c r="AZ21" s="100" t="inlineStr">
        <is>
          <t>-</t>
        </is>
      </c>
      <c r="BA21" s="6" t="inlineStr">
        <is>
          <t>HK1; HK5; Risk-commensurate management: materiality and; Risk management frameworks: data within appro</t>
        </is>
      </c>
    </row>
    <row r="22" ht="60" customHeight="1">
      <c r="A22" s="5" t="inlineStr">
        <is>
          <t>AI-R17</t>
        </is>
      </c>
      <c r="B22" s="5" t="inlineStr">
        <is>
          <t>Data Quality Degradation and Model Drift</t>
        </is>
      </c>
      <c r="C22" s="6" t="inlineStr">
        <is>
          <t>AIR-OP-019</t>
        </is>
      </c>
      <c r="D22" s="6" t="inlineStr">
        <is>
          <t>AIR-DET-001; AIR-DET-011; AIR-DET-015; AIR-PREV-002; AIR-PREV-005; AIR-PREV-006; AIR-PREV-010; AIR-PREV-014</t>
        </is>
      </c>
      <c r="E22" s="6" t="inlineStr">
        <is>
          <t>03 Quality and labeling; 04 Robustness and drift</t>
        </is>
      </c>
      <c r="F22" s="6" t="inlineStr">
        <is>
          <t>GOVERN 4.3; MAP 2.3; MEASURE 2.1; MEASURE 2.6; MEASURE 2.7; MEASURE 2.10</t>
        </is>
      </c>
      <c r="G22" s="100" t="inlineStr">
        <is>
          <t>-</t>
        </is>
      </c>
      <c r="H22" s="6" t="inlineStr">
        <is>
          <t>TR.1</t>
        </is>
      </c>
      <c r="I22" s="6" t="inlineStr">
        <is>
          <t>LLM01:2025; LLM02:2025; LLM03:2025; LLM04:2025; LLM05:2025; LLM06:2025; LLM07:2025; LLM08:2025; LLM09:2025; LLM10:2025</t>
        </is>
      </c>
      <c r="J22" s="100" t="inlineStr">
        <is>
          <t>-</t>
        </is>
      </c>
      <c r="K22" s="100" t="inlineStr">
        <is>
          <t>-</t>
        </is>
      </c>
      <c r="L22" s="6" t="inlineStr">
        <is>
          <t>AML.T0025; AML.T0057; AML.T0066; AML.T0070; AML.T0071; AML.T0085</t>
        </is>
      </c>
      <c r="M22" s="6" t="inlineStr">
        <is>
          <t>AML.M0005; AML.M0012; AML.M0025; AML.M0035</t>
        </is>
      </c>
      <c r="N22" s="6" t="inlineStr">
        <is>
          <t>NISTAML.012; NISTAML.013; NISTAML.015; NISTAML.018; NISTAML.021; NISTAML.022; NISTAML.023; NISTAML.024; NISTAML.025; NISTAML.027; NISTAML.032; NISTAML.033; NISTAML.034; NISTAML.036; NISTAML.037; NISTAML.038; 3.6 Benchmarks for AML vulnerabilities</t>
        </is>
      </c>
      <c r="O22" s="6" t="inlineStr">
        <is>
          <t>A.4.3; A.6.2.4; A.7.3; A.7.4; A.7.5; A.7.6</t>
        </is>
      </c>
      <c r="P22" s="100" t="inlineStr">
        <is>
          <t>-</t>
        </is>
      </c>
      <c r="Q22" s="6" t="inlineStr">
        <is>
          <t>A.5.7; A.5.12; A.5.13; A.8.8; A.8.10; A.8.11; A.8.12; A.8.24; A.8.29; A.8.32; A.8.33; A.8.34</t>
        </is>
      </c>
      <c r="R22" s="100" t="inlineStr">
        <is>
          <t>-</t>
        </is>
      </c>
      <c r="S22" s="100" t="inlineStr">
        <is>
          <t>-</t>
        </is>
      </c>
      <c r="T22" s="100" t="inlineStr">
        <is>
          <t>-</t>
        </is>
      </c>
      <c r="U22" s="100" t="inlineStr">
        <is>
          <t>-</t>
        </is>
      </c>
      <c r="V22" s="6" t="inlineStr">
        <is>
          <t>Governance of data use</t>
        </is>
      </c>
      <c r="W22" s="6" t="inlineStr">
        <is>
          <t>AI-specific security threats (data poisoning,; AI-specific privacy threats; Testing and evaluation</t>
        </is>
      </c>
      <c r="X22" s="6" t="inlineStr">
        <is>
          <t>Knowledge acquisition process; AI data engineering process; 6.4.11, 6.4.13; Continuous validation process</t>
        </is>
      </c>
      <c r="Y22" s="6" t="inlineStr">
        <is>
          <t>8.2, 8.3; 8.4, 8.5</t>
        </is>
      </c>
      <c r="Z22" s="6" t="inlineStr">
        <is>
          <t>Trustworthiness (robustness, reliability, res</t>
        </is>
      </c>
      <c r="AA22" s="6" t="inlineStr">
        <is>
          <t>5259-1, 5.3; 5259-2, 6</t>
        </is>
      </c>
      <c r="AB22" s="6" t="inlineStr">
        <is>
          <t>ID.AM; ID.RA; ID.IM; PR.DS</t>
        </is>
      </c>
      <c r="AC22" s="6" t="inlineStr">
        <is>
          <t>CIS 3; CIS 7; CIS 18</t>
        </is>
      </c>
      <c r="AD22" s="6" t="inlineStr">
        <is>
          <t>CC4.1; CC6.1; CC6.7; CC7.1; CC8.1; C1.1; C1.2; PI1.2</t>
        </is>
      </c>
      <c r="AE22" s="6" t="inlineStr">
        <is>
          <t>PO.4; PW.3; PW.8; RV.1</t>
        </is>
      </c>
      <c r="AF22" s="6" t="inlineStr">
        <is>
          <t>1.2.4 (data-flow diagrams); Requirement 3, and 3.3.1 (no storage of se...; 6.2.3 and 6.2.3.1 (code review); 12.5.2 (scope confirmation); Targeted risk analysis (not numbered in th...; Penetration and segmentation testing (not ...</t>
        </is>
      </c>
      <c r="AG22" s="6" t="inlineStr">
        <is>
          <t>Limits of AI use; AI system inputs and functional limitations; Evaluation of deployment controls; Use, monitoring and revalidation; Independent egress monitoring; High-impact secrets and random values; Account data given to AI; Large datasets and aggregation; Cleartext card data (Example 4)</t>
        </is>
      </c>
      <c r="AH22" s="6" t="inlineStr">
        <is>
          <t>Principle 1.4</t>
        </is>
      </c>
      <c r="AI22" s="6" t="inlineStr">
        <is>
          <t>Technical robustness and safety; Privacy and data governance</t>
        </is>
      </c>
      <c r="AJ22" s="6" t="inlineStr">
        <is>
          <t>Safety and security; Right to privacy and data protection</t>
        </is>
      </c>
      <c r="AK22" s="6" t="inlineStr">
        <is>
          <t>IEEE 7002-2022</t>
        </is>
      </c>
      <c r="AL22" s="6" t="inlineStr">
        <is>
          <t>Art. 11; Art. 12</t>
        </is>
      </c>
      <c r="AM22" s="6" t="inlineStr">
        <is>
          <t>Action 1; Action 2</t>
        </is>
      </c>
      <c r="AN22" s="6" t="inlineStr">
        <is>
          <t>Retention and deletion</t>
        </is>
      </c>
      <c r="AO22" s="6" t="inlineStr">
        <is>
          <t>U1; S1; Q1</t>
        </is>
      </c>
      <c r="AP22" s="6" t="inlineStr">
        <is>
          <t>E1c; E2</t>
        </is>
      </c>
      <c r="AQ22" s="6" t="inlineStr">
        <is>
          <t>UK2</t>
        </is>
      </c>
      <c r="AR22" s="6" t="inlineStr">
        <is>
          <t>US17</t>
        </is>
      </c>
      <c r="AS22" s="100" t="inlineStr">
        <is>
          <t>-</t>
        </is>
      </c>
      <c r="AT22" s="6" t="inlineStr">
        <is>
          <t>BR2</t>
        </is>
      </c>
      <c r="AU22" s="100" t="inlineStr">
        <is>
          <t>-</t>
        </is>
      </c>
      <c r="AV22" s="100" t="inlineStr">
        <is>
          <t>-</t>
        </is>
      </c>
      <c r="AW22" s="6" t="inlineStr">
        <is>
          <t>IN1</t>
        </is>
      </c>
      <c r="AX22" s="100" t="inlineStr">
        <is>
          <t>-</t>
        </is>
      </c>
      <c r="AY22" s="6" t="inlineStr">
        <is>
          <t>SG4; SG5; MAS 5.4; MAS 5.14 to 5.15; MAS 5.22; MAS 5.24</t>
        </is>
      </c>
      <c r="AZ22" s="100" t="inlineStr">
        <is>
          <t>-</t>
        </is>
      </c>
      <c r="BA22" s="6" t="inlineStr">
        <is>
          <t>HK5; HK7; Risk-commensurate management: materiality and; Risk management frameworks: data within appro</t>
        </is>
      </c>
    </row>
    <row r="23" ht="60" customHeight="1">
      <c r="A23" s="5" t="inlineStr">
        <is>
          <t>AI-R18</t>
        </is>
      </c>
      <c r="B23" s="5" t="inlineStr">
        <is>
          <t>Model Overreach and Use Beyond Approved Purpose</t>
        </is>
      </c>
      <c r="C23" s="6" t="inlineStr">
        <is>
          <t>AIR-OP-014; AIR-OP-018</t>
        </is>
      </c>
      <c r="D23" s="6" t="inlineStr">
        <is>
          <t>AIR-DET-011; AIR-PREV-024</t>
        </is>
      </c>
      <c r="E23" s="6" t="inlineStr">
        <is>
          <t>01 Governance and oversight; 02 Use-case selection and sourcing</t>
        </is>
      </c>
      <c r="F23" s="6" t="inlineStr">
        <is>
          <t>GOVERN 1.2; GOVERN 1.3; GOVERN 1.4; GOVERN 1.6; GOVERN 1.7; GOVERN 2.1; GOVERN 2.2; GOVERN 3.2; MAP 1.1; MAP 1.5; MAP 3.5; MANAGE 1.2; MANAGE 1.4</t>
        </is>
      </c>
      <c r="G23" s="100" t="inlineStr">
        <is>
          <t>-</t>
        </is>
      </c>
      <c r="H23" s="6" t="inlineStr">
        <is>
          <t>GV.1; GV.2; GV.4; CM.3; RG.1; RG.2; TR.2</t>
        </is>
      </c>
      <c r="I23" s="6" t="inlineStr">
        <is>
          <t>LLM06:2025</t>
        </is>
      </c>
      <c r="J23" s="6" t="inlineStr">
        <is>
          <t>ASI09</t>
        </is>
      </c>
      <c r="K23" s="100" t="inlineStr">
        <is>
          <t>-</t>
        </is>
      </c>
      <c r="L23" s="100" t="inlineStr">
        <is>
          <t>-</t>
        </is>
      </c>
      <c r="M23" s="6" t="inlineStr">
        <is>
          <t>AML.M0018; AML.M0029</t>
        </is>
      </c>
      <c r="N23" s="6" t="inlineStr">
        <is>
          <t>NISTAML.027</t>
        </is>
      </c>
      <c r="O23" s="6" t="inlineStr">
        <is>
          <t>A.2.2; A.2.3; A.2.4; A.3.2; A.4.2; A.5.2; A.9.2; A.9.3; A.9.4</t>
        </is>
      </c>
      <c r="P23" s="6" t="inlineStr">
        <is>
          <t>Clause 6.1.2; Clause 6.1.3</t>
        </is>
      </c>
      <c r="Q23" s="6" t="inlineStr">
        <is>
          <t>A.5.1; A.5.2; A.5.4; A.5.8; A.5.9; A.5.10; A.5.12; A.6.2; A.6.4</t>
        </is>
      </c>
      <c r="R23" s="6" t="inlineStr">
        <is>
          <t>Clause 6.1.2; Clause 6.1.3</t>
        </is>
      </c>
      <c r="S23" s="6" t="inlineStr">
        <is>
          <t>5.2 to 5.4</t>
        </is>
      </c>
      <c r="T23" s="6" t="inlineStr">
        <is>
          <t>AI system information, including intended and</t>
        </is>
      </c>
      <c r="U23" s="6" t="inlineStr">
        <is>
          <t>Scope of certification; 9.1.4 and Annex A</t>
        </is>
      </c>
      <c r="V23" s="6" t="inlineStr">
        <is>
          <t>Governance oversight of AI; Governance of decision-making; Risk (appetite, management, objectives, sourc</t>
        </is>
      </c>
      <c r="W23" s="6" t="inlineStr">
        <is>
          <t xml:space="preserve">Controllability, including human-in-the-loop </t>
        </is>
      </c>
      <c r="X23" s="6" t="inlineStr">
        <is>
          <t>6.3.4, 6.3.5; Disposal process</t>
        </is>
      </c>
      <c r="Y23" s="100" t="inlineStr">
        <is>
          <t>-</t>
        </is>
      </c>
      <c r="Z23" s="6" t="inlineStr">
        <is>
          <t>Trustworthiness (robustness, reliability, res</t>
        </is>
      </c>
      <c r="AA23" s="100" t="inlineStr">
        <is>
          <t>-</t>
        </is>
      </c>
      <c r="AB23" s="6" t="inlineStr">
        <is>
          <t>GV.RM; GV.RR; GV.PO; ID.AM; ID.RA</t>
        </is>
      </c>
      <c r="AC23" s="6" t="inlineStr">
        <is>
          <t>CIS 1; CIS 2</t>
        </is>
      </c>
      <c r="AD23" s="6" t="inlineStr">
        <is>
          <t>CC1.3; CC2.2; CC3.1; CC3.2; CC5.3; CC9.1</t>
        </is>
      </c>
      <c r="AE23" s="6" t="inlineStr">
        <is>
          <t>PO.1; PO.2; PW.1; RV.2</t>
        </is>
      </c>
      <c r="AF23" s="6" t="inlineStr">
        <is>
          <t>1.2.4 (data-flow diagrams); 12.5.1 (inventory of system components); 12.5.2 (scope confirmation); Targeted risk analysis (not numbered in th...</t>
        </is>
      </c>
      <c r="AG23" s="6" t="inlineStr">
        <is>
          <t>Limits of AI use; Requirements, scoping and threat modelling; AI inventory and AI-BOM; Human in the loop or over the loop; Reliability and failure handling; Categorising AI system risk; AI system owner; AI in "individual" and "user" roles</t>
        </is>
      </c>
      <c r="AH23" s="6" t="inlineStr">
        <is>
          <t>Principle 1.1; Principle 1.2; Principle 1.5</t>
        </is>
      </c>
      <c r="AI23" s="6" t="inlineStr">
        <is>
          <t>Human agency and oversight; Accountability</t>
        </is>
      </c>
      <c r="AJ23" s="6" t="inlineStr">
        <is>
          <t>Proportionality and do no harm; Multi-stakeholder and adaptive governance ...; Responsibility and accountability; Human oversight and determination</t>
        </is>
      </c>
      <c r="AK23" s="100" t="inlineStr">
        <is>
          <t>-</t>
        </is>
      </c>
      <c r="AL23" s="6" t="inlineStr">
        <is>
          <t>Art. 7; Art. 8; Art. 9; 14, 15; Art. 16</t>
        </is>
      </c>
      <c r="AM23" s="6" t="inlineStr">
        <is>
          <t>Action 1; Action 5</t>
        </is>
      </c>
      <c r="AN23" s="6" t="inlineStr">
        <is>
          <t>Automated decisions about individuals</t>
        </is>
      </c>
      <c r="AO23" s="6" t="inlineStr">
        <is>
          <t>U3; U4; U6; U9; U12; S2; S3; S5; Q3; Q4; B2; O1</t>
        </is>
      </c>
      <c r="AP23" s="6" t="inlineStr">
        <is>
          <t>E1a; E1b; E1c; E8; E12; E14; E17</t>
        </is>
      </c>
      <c r="AQ23" s="6" t="inlineStr">
        <is>
          <t>UK1; UK5; UK6; UK11; UK13</t>
        </is>
      </c>
      <c r="AR23" s="6" t="inlineStr">
        <is>
          <t>US5; US6; US8; US9; US12; US14; US15; US16</t>
        </is>
      </c>
      <c r="AS23" s="6" t="inlineStr">
        <is>
          <t>AU1; AU4; AU7</t>
        </is>
      </c>
      <c r="AT23" s="6" t="inlineStr">
        <is>
          <t>BR1; BR3</t>
        </is>
      </c>
      <c r="AU23" s="6" t="inlineStr">
        <is>
          <t>CA4; CA5; CA6; CA8</t>
        </is>
      </c>
      <c r="AV23" s="6" t="inlineStr">
        <is>
          <t>CN1; CN2; CN5</t>
        </is>
      </c>
      <c r="AW23" s="6" t="inlineStr">
        <is>
          <t>IN4; IN5; IN6; IN7; IN8; IN13</t>
        </is>
      </c>
      <c r="AX23" s="6" t="inlineStr">
        <is>
          <t>JP1; JP2; JP3; JP6</t>
        </is>
      </c>
      <c r="AY23" s="6" t="inlineStr">
        <is>
          <t>SG1; SG2; SG5; MAS 1.6, 2.1 to 2.2; MAS 2.3 to 2.5; MAS 3.1 to 3.4; MAS 3.5; MAS 1.5, 3.6; MAS 4.2 to 4.4; MAS 4.5 to 4.9; MAS 4.10 to 4.13; MAS 5.9; MAS 5.26</t>
        </is>
      </c>
      <c r="AZ23" s="6" t="inlineStr">
        <is>
          <t>KR3; KR4; KR5; KR6</t>
        </is>
      </c>
      <c r="BA23" s="6" t="inlineStr">
        <is>
          <t>HK1; HK2; HK3; HK5; HK6; Board and senior management accountability: t; Use-case owners and human oversight: a named ; Inventory: an up-to-date inventory of approve; Risk-commensurate management: materiality and</t>
        </is>
      </c>
    </row>
    <row r="24" ht="60" customHeight="1">
      <c r="A24" s="5" t="inlineStr">
        <is>
          <t>AI-R19</t>
        </is>
      </c>
      <c r="B24" s="5" t="inlineStr">
        <is>
          <t>Insufficient or Ineffective Human Oversight</t>
        </is>
      </c>
      <c r="C24" s="6" t="inlineStr">
        <is>
          <t>AIR-RC-022</t>
        </is>
      </c>
      <c r="D24" s="6" t="inlineStr">
        <is>
          <t>AIR-DET-011; AIR-PREV-024</t>
        </is>
      </c>
      <c r="E24" s="6" t="inlineStr">
        <is>
          <t>06 Human agency and over-reliance; 12 Autonomy, alignment and oversight</t>
        </is>
      </c>
      <c r="F24" s="6" t="inlineStr">
        <is>
          <t>GOVERN 1.2; GOVERN 1.4; GOVERN 2.1; GOVERN 2.2; GOVERN 3.2; MAP 3.4; MAP 3.5</t>
        </is>
      </c>
      <c r="G24" s="6" t="inlineStr">
        <is>
          <t>Human-AI Configuration</t>
        </is>
      </c>
      <c r="H24" s="6" t="inlineStr">
        <is>
          <t>GV.1; GV.2; GV.3; CM.3; TR.2</t>
        </is>
      </c>
      <c r="I24" s="6" t="inlineStr">
        <is>
          <t>LLM06:2025</t>
        </is>
      </c>
      <c r="J24" s="6" t="inlineStr">
        <is>
          <t>ASI09</t>
        </is>
      </c>
      <c r="K24" s="100" t="inlineStr">
        <is>
          <t>-</t>
        </is>
      </c>
      <c r="L24" s="6" t="inlineStr">
        <is>
          <t>AML.T0053; AML.T0101</t>
        </is>
      </c>
      <c r="M24" s="6" t="inlineStr">
        <is>
          <t>AML.M0018; AML.M0029</t>
        </is>
      </c>
      <c r="N24" s="6" t="inlineStr">
        <is>
          <t>NISTAML.027; 3.5 Security of agents</t>
        </is>
      </c>
      <c r="O24" s="6" t="inlineStr">
        <is>
          <t>A.2.2; A.2.3; A.2.4; A.3.2; A.4.6; A.9.2; A.9.3</t>
        </is>
      </c>
      <c r="P24" s="6" t="inlineStr">
        <is>
          <t>Clause 7.2; Clause 7.3</t>
        </is>
      </c>
      <c r="Q24" s="6" t="inlineStr">
        <is>
          <t>A.5.1; A.5.2; A.5.3; A.5.4; A.5.10; A.6.2; A.6.3; A.6.4</t>
        </is>
      </c>
      <c r="R24" s="100" t="inlineStr">
        <is>
          <t>-</t>
        </is>
      </c>
      <c r="S24" s="6" t="inlineStr">
        <is>
          <t>5.2 to 5.4</t>
        </is>
      </c>
      <c r="T24" s="100" t="inlineStr">
        <is>
          <t>-</t>
        </is>
      </c>
      <c r="U24" s="100" t="inlineStr">
        <is>
          <t>-</t>
        </is>
      </c>
      <c r="V24" s="6" t="inlineStr">
        <is>
          <t>Governance of decision-making; Culture and values</t>
        </is>
      </c>
      <c r="W24" s="6" t="inlineStr">
        <is>
          <t xml:space="preserve">Controllability, including human-in-the-loop </t>
        </is>
      </c>
      <c r="X24" s="100" t="inlineStr">
        <is>
          <t>-</t>
        </is>
      </c>
      <c r="Y24" s="100" t="inlineStr">
        <is>
          <t>-</t>
        </is>
      </c>
      <c r="Z24" s="6" t="inlineStr">
        <is>
          <t>Trustworthiness (robustness, reliability, res</t>
        </is>
      </c>
      <c r="AA24" s="100" t="inlineStr">
        <is>
          <t>-</t>
        </is>
      </c>
      <c r="AB24" s="6" t="inlineStr">
        <is>
          <t>GV.RR; GV.PO; PR.AA; PR.AT</t>
        </is>
      </c>
      <c r="AC24" s="6" t="inlineStr">
        <is>
          <t>CIS 14</t>
        </is>
      </c>
      <c r="AD24" s="6" t="inlineStr">
        <is>
          <t>CC1.3; CC1.4; CC2.2; CC5.3</t>
        </is>
      </c>
      <c r="AE24" s="6" t="inlineStr">
        <is>
          <t>PO.1; PO.2</t>
        </is>
      </c>
      <c r="AF24" s="100" t="inlineStr">
        <is>
          <t>-</t>
        </is>
      </c>
      <c r="AG24" s="6" t="inlineStr">
        <is>
          <t>Limits of AI use; Human in the loop or over the loop; Reliability and failure handling; AI system owner; AI in "individual" and "user" roles; Cleartext card data (Example 4); AI-enabled social engineering and biometri...</t>
        </is>
      </c>
      <c r="AH24" s="6" t="inlineStr">
        <is>
          <t>Principle 1.2; Principle 1.5</t>
        </is>
      </c>
      <c r="AI24" s="6" t="inlineStr">
        <is>
          <t>Human agency and oversight; Accountability</t>
        </is>
      </c>
      <c r="AJ24" s="6" t="inlineStr">
        <is>
          <t>Multi-stakeholder and adaptive governance ...; Responsibility and accountability; Human oversight and determination; Awareness and literacy</t>
        </is>
      </c>
      <c r="AK24" s="100" t="inlineStr">
        <is>
          <t>-</t>
        </is>
      </c>
      <c r="AL24" s="6" t="inlineStr">
        <is>
          <t>Art. 7; Art. 8; Art. 9; 14, 15; Art. 20</t>
        </is>
      </c>
      <c r="AM24" s="6" t="inlineStr">
        <is>
          <t>Action 5</t>
        </is>
      </c>
      <c r="AN24" s="6" t="inlineStr">
        <is>
          <t>Automated decisions about individuals</t>
        </is>
      </c>
      <c r="AO24" s="6" t="inlineStr">
        <is>
          <t>U3; U4; U6; U9; U12; S2; S3; Q3; Q4; B2; B4</t>
        </is>
      </c>
      <c r="AP24" s="6" t="inlineStr">
        <is>
          <t>E1a; E1b; E1c; E12; E17</t>
        </is>
      </c>
      <c r="AQ24" s="6" t="inlineStr">
        <is>
          <t>UK1; UK3; UK5; UK13</t>
        </is>
      </c>
      <c r="AR24" s="6" t="inlineStr">
        <is>
          <t>US8; US9; US10; US12; US14; US15</t>
        </is>
      </c>
      <c r="AS24" s="6" t="inlineStr">
        <is>
          <t>AU1; AU4; AU7</t>
        </is>
      </c>
      <c r="AT24" s="6" t="inlineStr">
        <is>
          <t>BR3</t>
        </is>
      </c>
      <c r="AU24" s="6" t="inlineStr">
        <is>
          <t>CA3; CA5; CA8</t>
        </is>
      </c>
      <c r="AV24" s="6" t="inlineStr">
        <is>
          <t>CN1; CN5; CN6</t>
        </is>
      </c>
      <c r="AW24" s="6" t="inlineStr">
        <is>
          <t>IN4; IN5; IN6; IN13</t>
        </is>
      </c>
      <c r="AX24" s="6" t="inlineStr">
        <is>
          <t>JP1; JP2; JP3</t>
        </is>
      </c>
      <c r="AY24" s="6" t="inlineStr">
        <is>
          <t>SG1; SG2; SG5; MAS 2.3 to 2.5; MAS 3.1 to 3.4; MAS 3.5; MAS 1.5, 3.6; MAS 5.9; MAS 6.1 to 6.2</t>
        </is>
      </c>
      <c r="AZ24" s="6" t="inlineStr">
        <is>
          <t>KR3; KR5; KR6</t>
        </is>
      </c>
      <c r="BA24" s="6" t="inlineStr">
        <is>
          <t xml:space="preserve">HK1; HK2; HK3; HK5; HK6; Board and senior management accountability: t; Use-case owners and human oversight: a named ; Resources and expertise: adequate resources a; Accountability for outputs: controls against </t>
        </is>
      </c>
    </row>
    <row r="25" ht="60" customHeight="1">
      <c r="A25" s="5" t="inlineStr">
        <is>
          <t>AI-R20</t>
        </is>
      </c>
      <c r="B25" s="5" t="inlineStr">
        <is>
          <t>Reputational Harm from AI Behaviour</t>
        </is>
      </c>
      <c r="C25" s="6" t="inlineStr">
        <is>
          <t>AIR-OP-020</t>
        </is>
      </c>
      <c r="D25" s="6" t="inlineStr">
        <is>
          <t>AIR-DET-011; AIR-DET-013; AIR-DET-015; AIR-PREV-005; AIR-PREV-010</t>
        </is>
      </c>
      <c r="E25" s="6" t="inlineStr">
        <is>
          <t>06 Harmful / inaccurate output; 10 Societal and reputational</t>
        </is>
      </c>
      <c r="F25" s="6" t="inlineStr">
        <is>
          <t>GOVERN 4.3; GOVERN 6.2; MAP 2.2; MEASURE 2.1; MEASURE 2.5; MEASURE 2.6; MEASURE 2.7; MANAGE 2.3; MANAGE 4.3</t>
        </is>
      </c>
      <c r="G25" s="6" t="inlineStr">
        <is>
          <t>Dangerous, Violent, or Hateful Content; Information Integrity</t>
        </is>
      </c>
      <c r="H25" s="6" t="inlineStr">
        <is>
          <t>TR.1; TR.3</t>
        </is>
      </c>
      <c r="I25" s="6" t="inlineStr">
        <is>
          <t>LLM01:2025; LLM02:2025; LLM03:2025; LLM04:2025; LLM05:2025; LLM06:2025; LLM07:2025; LLM08:2025; LLM09:2025; LLM10:2025</t>
        </is>
      </c>
      <c r="J25" s="100" t="inlineStr">
        <is>
          <t>-</t>
        </is>
      </c>
      <c r="K25" s="100" t="inlineStr">
        <is>
          <t>-</t>
        </is>
      </c>
      <c r="L25" s="6" t="inlineStr">
        <is>
          <t>AML.T0048; AML.T0060; AML.T0062</t>
        </is>
      </c>
      <c r="M25" s="6" t="inlineStr">
        <is>
          <t>AML.M0020; AML.M0022; AML.M0024; AML.M0035</t>
        </is>
      </c>
      <c r="N25" s="6" t="inlineStr">
        <is>
          <t>NISTAML.012; NISTAML.013; NISTAML.018; NISTAML.021; NISTAML.022; NISTAML.023; NISTAML.024; NISTAML.025; NISTAML.027; NISTAML.032; NISTAML.033; 3.6 Benchmarks for AML vulnerabilities</t>
        </is>
      </c>
      <c r="O25" s="6" t="inlineStr">
        <is>
          <t>A.3.3; A.6.2.4; A.6.2.6; A.8.2; A.8.3; A.8.4</t>
        </is>
      </c>
      <c r="P25" s="100" t="inlineStr">
        <is>
          <t>-</t>
        </is>
      </c>
      <c r="Q25" s="6" t="inlineStr">
        <is>
          <t>A.5.7; A.5.24; A.5.25; A.5.26; A.5.27; A.5.28; A.5.37; A.6.8; A.8.8; A.8.29; A.8.34</t>
        </is>
      </c>
      <c r="R25" s="100" t="inlineStr">
        <is>
          <t>-</t>
        </is>
      </c>
      <c r="S25" s="100" t="inlineStr">
        <is>
          <t>-</t>
        </is>
      </c>
      <c r="T25" s="100" t="inlineStr">
        <is>
          <t>-</t>
        </is>
      </c>
      <c r="U25" s="100" t="inlineStr">
        <is>
          <t>-</t>
        </is>
      </c>
      <c r="V25" s="100" t="inlineStr">
        <is>
          <t>-</t>
        </is>
      </c>
      <c r="W25" s="6" t="inlineStr">
        <is>
          <t>AI-specific security threats (data poisoning,; 8.4 to 8.6; 9.2, 9.3; Testing and evaluation</t>
        </is>
      </c>
      <c r="X25" s="6" t="inlineStr">
        <is>
          <t>6.4.11, 6.4.13; Continuous validation process</t>
        </is>
      </c>
      <c r="Y25" s="6" t="inlineStr">
        <is>
          <t>8.4, 8.5</t>
        </is>
      </c>
      <c r="Z25" s="6" t="inlineStr">
        <is>
          <t>Trustworthiness (robustness, reliability, res</t>
        </is>
      </c>
      <c r="AA25" s="100" t="inlineStr">
        <is>
          <t>-</t>
        </is>
      </c>
      <c r="AB25" s="6" t="inlineStr">
        <is>
          <t>ID.RA; ID.IM; DE.AE; RS.MA; RS.AN; RS.CO; RS.MI; RC.RP</t>
        </is>
      </c>
      <c r="AC25" s="6" t="inlineStr">
        <is>
          <t>CIS 7; CIS 17; CIS 18</t>
        </is>
      </c>
      <c r="AD25" s="6" t="inlineStr">
        <is>
          <t>CC4.1; CC7.1; CC7.3; CC7.4; CC7.5; PI1.3; PI1.4</t>
        </is>
      </c>
      <c r="AE25" s="6" t="inlineStr">
        <is>
          <t>PO.4; PW.8; RV.1; RV.2; RV.3</t>
        </is>
      </c>
      <c r="AF25" s="6" t="inlineStr">
        <is>
          <t>6.2.3 and 6.2.3.1 (code review); 12.10.x (incident response); Targeted risk analysis (not numbered in th...; Penetration and segmentation testing (not ...</t>
        </is>
      </c>
      <c r="AG25" s="6" t="inlineStr">
        <is>
          <t>AI system inputs and functional limitations; Evaluation of deployment controls; Use, monitoring and revalidation; Reliability and failure handling</t>
        </is>
      </c>
      <c r="AH25" s="6" t="inlineStr">
        <is>
          <t>Principle 1.3; Principle 1.4</t>
        </is>
      </c>
      <c r="AI25" s="6" t="inlineStr">
        <is>
          <t>Technical robustness and safety; Transparency</t>
        </is>
      </c>
      <c r="AJ25" s="6" t="inlineStr">
        <is>
          <t>Safety and security; Transparency and explainability</t>
        </is>
      </c>
      <c r="AK25" s="6" t="inlineStr">
        <is>
          <t>IEEE 7001-2021</t>
        </is>
      </c>
      <c r="AL25" s="6" t="inlineStr">
        <is>
          <t>Art. 8; Art. 12</t>
        </is>
      </c>
      <c r="AM25" s="6" t="inlineStr">
        <is>
          <t>Action 1; Action 2; Action 3; Action 4; Action 7</t>
        </is>
      </c>
      <c r="AN25" s="6" t="inlineStr">
        <is>
          <t>Breach notification</t>
        </is>
      </c>
      <c r="AO25" s="6" t="inlineStr">
        <is>
          <t>U1; U2; U3; U4; S2; Q3</t>
        </is>
      </c>
      <c r="AP25" s="6" t="inlineStr">
        <is>
          <t>E1c; E1d; E2; E5; E6; E10; E16</t>
        </is>
      </c>
      <c r="AQ25" s="6" t="inlineStr">
        <is>
          <t>UK1; UK2; UK7; UK11</t>
        </is>
      </c>
      <c r="AR25" s="6" t="inlineStr">
        <is>
          <t>US7; US11; US14; US17</t>
        </is>
      </c>
      <c r="AS25" s="6" t="inlineStr">
        <is>
          <t>AU2; AU3; AU3a; AU6; AU6a; AU8</t>
        </is>
      </c>
      <c r="AT25" s="6" t="inlineStr">
        <is>
          <t>BR2; BR4</t>
        </is>
      </c>
      <c r="AU25" s="6" t="inlineStr">
        <is>
          <t>CA2; CA4; CA5; CA7</t>
        </is>
      </c>
      <c r="AV25" s="6" t="inlineStr">
        <is>
          <t>CN1; CN2; CN3; CN4; CN6; CN7</t>
        </is>
      </c>
      <c r="AW25" s="6" t="inlineStr">
        <is>
          <t>IN1; IN2; IN3; IN4; IN9; IN10</t>
        </is>
      </c>
      <c r="AX25" s="6" t="inlineStr">
        <is>
          <t>JP3; JP4</t>
        </is>
      </c>
      <c r="AY25" s="6" t="inlineStr">
        <is>
          <t>SG1; SG3; SG5; SG8; MAS 3.5; MAS 5.5 to 5.6; MAS 5.14 to 5.15; MAS 5.22; MAS 5.23; MAS 5.24</t>
        </is>
      </c>
      <c r="AZ25" s="6" t="inlineStr">
        <is>
          <t>KR2; KR7</t>
        </is>
      </c>
      <c r="BA25" s="6" t="inlineStr">
        <is>
          <t xml:space="preserve">HK5; Risk-commensurate management: materiality and; Accountability for outputs: controls against </t>
        </is>
      </c>
    </row>
    <row r="26" ht="60" customHeight="1">
      <c r="A26" s="5" t="inlineStr">
        <is>
          <t>AI-R21</t>
        </is>
      </c>
      <c r="B26" s="5" t="inlineStr">
        <is>
          <t>Agent Memory and State Persistence Poisoning</t>
        </is>
      </c>
      <c r="C26" s="6" t="inlineStr">
        <is>
          <t>AIR-SEC-027</t>
        </is>
      </c>
      <c r="D26" s="6" t="inlineStr">
        <is>
          <t>AIR-PREV-022</t>
        </is>
      </c>
      <c r="E26" s="6" t="inlineStr">
        <is>
          <t>03 Retention and disposal; 12 Memory and context integrity</t>
        </is>
      </c>
      <c r="F26" s="6" t="inlineStr">
        <is>
          <t>MEASURE 2.7; MEASURE 2.10; MANAGE 1.3; MANAGE 2.3; MANAGE 2.4</t>
        </is>
      </c>
      <c r="G26" s="100" t="inlineStr">
        <is>
          <t>-</t>
        </is>
      </c>
      <c r="H26" s="6" t="inlineStr">
        <is>
          <t>RG.4</t>
        </is>
      </c>
      <c r="I26" s="6" t="inlineStr">
        <is>
          <t>LLM01:2025; LLM04:2025; LLM06:2025</t>
        </is>
      </c>
      <c r="J26" s="6" t="inlineStr">
        <is>
          <t>ASI05; ASI06; ASI08; ASI10</t>
        </is>
      </c>
      <c r="K26" s="6" t="inlineStr">
        <is>
          <t>MCP10:2025</t>
        </is>
      </c>
      <c r="L26" s="6" t="inlineStr">
        <is>
          <t>AML.T0034; AML.T0050; AML.T0053; AML.T0080; AML.T0092; AML.T0094; AML.T0102; AML.T0105</t>
        </is>
      </c>
      <c r="M26" s="6" t="inlineStr">
        <is>
          <t>AML.M0011; AML.M0031; AML.M0032; AML.M0036; AML.M0037</t>
        </is>
      </c>
      <c r="N26" s="6" t="inlineStr">
        <is>
          <t>NISTAML.015; NISTAML.039; 3.5 Security of agents</t>
        </is>
      </c>
      <c r="O26" s="6" t="inlineStr">
        <is>
          <t>A.4.5; A.6.2.5; A.6.2.6</t>
        </is>
      </c>
      <c r="P26" s="100" t="inlineStr">
        <is>
          <t>-</t>
        </is>
      </c>
      <c r="Q26" s="6" t="inlineStr">
        <is>
          <t>A.5.18; A.5.26; A.8.3; A.8.22; A.8.27; A.8.31</t>
        </is>
      </c>
      <c r="R26" s="100" t="inlineStr">
        <is>
          <t>-</t>
        </is>
      </c>
      <c r="S26" s="100" t="inlineStr">
        <is>
          <t>-</t>
        </is>
      </c>
      <c r="T26" s="100" t="inlineStr">
        <is>
          <t>-</t>
        </is>
      </c>
      <c r="U26" s="100" t="inlineStr">
        <is>
          <t>-</t>
        </is>
      </c>
      <c r="V26" s="100" t="inlineStr">
        <is>
          <t>-</t>
        </is>
      </c>
      <c r="W26" s="6" t="inlineStr">
        <is>
          <t xml:space="preserve">Controllability, including human-in-the-loop </t>
        </is>
      </c>
      <c r="X26" s="100" t="inlineStr">
        <is>
          <t>-</t>
        </is>
      </c>
      <c r="Y26" s="100" t="inlineStr">
        <is>
          <t>-</t>
        </is>
      </c>
      <c r="Z26" s="100" t="inlineStr">
        <is>
          <t>-</t>
        </is>
      </c>
      <c r="AA26" s="100" t="inlineStr">
        <is>
          <t>-</t>
        </is>
      </c>
      <c r="AB26" s="6" t="inlineStr">
        <is>
          <t>PR.DS; PR.PS; PR.IR; RS.MA; RS.MI</t>
        </is>
      </c>
      <c r="AC26" s="6" t="inlineStr">
        <is>
          <t>CIS 3; CIS 4; CIS 6; CIS 12; CIS 16; CIS 17</t>
        </is>
      </c>
      <c r="AD26" s="6" t="inlineStr">
        <is>
          <t>CC6.1; CC6.2; CC6.6; CC6.8; CC7.4; PI1.5</t>
        </is>
      </c>
      <c r="AE26" s="6" t="inlineStr">
        <is>
          <t>PO.5</t>
        </is>
      </c>
      <c r="AF26" s="6" t="inlineStr">
        <is>
          <t>6.5.1, with 6.2.4 (change procedures); Penetration and segmentation testing (not ...</t>
        </is>
      </c>
      <c r="AG26" s="6" t="inlineStr">
        <is>
          <t>Access and containment; Human in the loop or over the loop; Account data given to AI; Cleartext card data (Example 4); Computationally infeasible controls; Minimise blast radius</t>
        </is>
      </c>
      <c r="AH26" s="6" t="inlineStr">
        <is>
          <t>Principle 1.4</t>
        </is>
      </c>
      <c r="AI26" s="6" t="inlineStr">
        <is>
          <t>Human agency and oversight</t>
        </is>
      </c>
      <c r="AJ26" s="100" t="inlineStr">
        <is>
          <t>-</t>
        </is>
      </c>
      <c r="AK26" s="100" t="inlineStr">
        <is>
          <t>-</t>
        </is>
      </c>
      <c r="AL26" s="100" t="inlineStr">
        <is>
          <t>-</t>
        </is>
      </c>
      <c r="AM26" s="100" t="inlineStr">
        <is>
          <t>-</t>
        </is>
      </c>
      <c r="AN26" s="100" t="inlineStr">
        <is>
          <t>-</t>
        </is>
      </c>
      <c r="AO26" s="6" t="inlineStr">
        <is>
          <t>U9</t>
        </is>
      </c>
      <c r="AP26" s="100" t="inlineStr">
        <is>
          <t>-</t>
        </is>
      </c>
      <c r="AQ26" s="100" t="inlineStr">
        <is>
          <t>-</t>
        </is>
      </c>
      <c r="AR26" s="100" t="inlineStr">
        <is>
          <t>-</t>
        </is>
      </c>
      <c r="AS26" s="100" t="inlineStr">
        <is>
          <t>-</t>
        </is>
      </c>
      <c r="AT26" s="100" t="inlineStr">
        <is>
          <t>-</t>
        </is>
      </c>
      <c r="AU26" s="100" t="inlineStr">
        <is>
          <t>-</t>
        </is>
      </c>
      <c r="AV26" s="100" t="inlineStr">
        <is>
          <t>-</t>
        </is>
      </c>
      <c r="AW26" s="6" t="inlineStr">
        <is>
          <t>IN6; IN13</t>
        </is>
      </c>
      <c r="AX26" s="100" t="inlineStr">
        <is>
          <t>-</t>
        </is>
      </c>
      <c r="AY26" s="6" t="inlineStr">
        <is>
          <t>SG2; SG5; SG7; MAS 5.3</t>
        </is>
      </c>
      <c r="AZ26" s="100" t="inlineStr">
        <is>
          <t>-</t>
        </is>
      </c>
      <c r="BA26" s="6" t="inlineStr">
        <is>
          <t>HK1; HK9; Risk-commensurate management: materiality and</t>
        </is>
      </c>
    </row>
    <row r="27" ht="60" customHeight="1">
      <c r="A27" s="5" t="inlineStr">
        <is>
          <t>AI-R22</t>
        </is>
      </c>
      <c r="B27" s="5" t="inlineStr">
        <is>
          <t>Agent-Mediated Credential Discovery and Harvesting</t>
        </is>
      </c>
      <c r="C27" s="6" t="inlineStr">
        <is>
          <t>AIR-SEC-029</t>
        </is>
      </c>
      <c r="D27" s="6" t="inlineStr">
        <is>
          <t>AIR-PREV-012; AIR-PREV-018; AIR-PREV-022; AIR-PREV-023</t>
        </is>
      </c>
      <c r="E27" s="6" t="inlineStr">
        <is>
          <t>05 AI access and identity; 12 Tool access and authorization</t>
        </is>
      </c>
      <c r="F27" s="6" t="inlineStr">
        <is>
          <t>GOVERN 6.1; MEASURE 2.7; MEASURE 2.8; MEASURE 2.10; MANAGE 1.3; MANAGE 4.1</t>
        </is>
      </c>
      <c r="G27" s="100" t="inlineStr">
        <is>
          <t>-</t>
        </is>
      </c>
      <c r="H27" s="6" t="inlineStr">
        <is>
          <t>AC.1; AC.2; AC.4</t>
        </is>
      </c>
      <c r="I27" s="6" t="inlineStr">
        <is>
          <t>LLM02:2025; LLM03:2025; LLM06:2025</t>
        </is>
      </c>
      <c r="J27" s="6" t="inlineStr">
        <is>
          <t>ASI03; ASI05; ASI07</t>
        </is>
      </c>
      <c r="K27" s="6" t="inlineStr">
        <is>
          <t>MCP01:2025</t>
        </is>
      </c>
      <c r="L27" s="6" t="inlineStr">
        <is>
          <t>AML.T0012; AML.T0050; AML.T0055; AML.T0057; AML.T0073; AML.T0083; AML.T0091; AML.T0098; AML.T0102; AML.T0105</t>
        </is>
      </c>
      <c r="M27" s="6" t="inlineStr">
        <is>
          <t>AML.M0011; AML.M0019; AML.M0026; AML.M0027; AML.M0028; AML.M0032</t>
        </is>
      </c>
      <c r="N27" s="6" t="inlineStr">
        <is>
          <t>NISTAML.039; 3.5 Security of agents</t>
        </is>
      </c>
      <c r="O27" s="6" t="inlineStr">
        <is>
          <t>A.4.4; A.4.5; A.6.2.5; A.9.2</t>
        </is>
      </c>
      <c r="P27" s="100" t="inlineStr">
        <is>
          <t>-</t>
        </is>
      </c>
      <c r="Q27" s="6" t="inlineStr">
        <is>
          <t>A.5.15; A.5.16; A.5.17; A.5.18; A.8.1; A.8.2; A.8.3; A.8.4; A.8.5; A.8.12; A.8.22; A.8.27; A.8.28; A.8.31</t>
        </is>
      </c>
      <c r="R27" s="100" t="inlineStr">
        <is>
          <t>-</t>
        </is>
      </c>
      <c r="S27" s="100" t="inlineStr">
        <is>
          <t>-</t>
        </is>
      </c>
      <c r="T27" s="100" t="inlineStr">
        <is>
          <t>-</t>
        </is>
      </c>
      <c r="U27" s="100" t="inlineStr">
        <is>
          <t>-</t>
        </is>
      </c>
      <c r="V27" s="100" t="inlineStr">
        <is>
          <t>-</t>
        </is>
      </c>
      <c r="W27" s="100" t="inlineStr">
        <is>
          <t>-</t>
        </is>
      </c>
      <c r="X27" s="100" t="inlineStr">
        <is>
          <t>-</t>
        </is>
      </c>
      <c r="Y27" s="100" t="inlineStr">
        <is>
          <t>-</t>
        </is>
      </c>
      <c r="Z27" s="100" t="inlineStr">
        <is>
          <t>-</t>
        </is>
      </c>
      <c r="AA27" s="100" t="inlineStr">
        <is>
          <t>-</t>
        </is>
      </c>
      <c r="AB27" s="6" t="inlineStr">
        <is>
          <t>PR.AA; PR.DS; PR.PS; PR.IR</t>
        </is>
      </c>
      <c r="AC27" s="6" t="inlineStr">
        <is>
          <t>CIS 3; CIS 4; CIS 5; CIS 6; CIS 12; CIS 16</t>
        </is>
      </c>
      <c r="AD27" s="6" t="inlineStr">
        <is>
          <t>CC6.1; CC6.2; CC6.3; CC6.6; CC6.7; CC6.8; CC8.1</t>
        </is>
      </c>
      <c r="AE27" s="6" t="inlineStr">
        <is>
          <t>PO.3; PO.5; PW.5</t>
        </is>
      </c>
      <c r="AF27" s="6" t="inlineStr">
        <is>
          <t>6.2.3 and 6.2.3.1 (code review); 8.4.2 (MFA into the CDE); Penetration and segmentation testing (not ...</t>
        </is>
      </c>
      <c r="AG27" s="6" t="inlineStr">
        <is>
          <t>Limits of AI use; Access and containment; Credentials constrained outside the AI system; Multiple agents; High-impact secrets and random values; Credentials in context; Account data given to AI; AI in "individual" and "user" roles; AI software development; Computationally infeasible controls; Minimise blast radius</t>
        </is>
      </c>
      <c r="AH27" s="100" t="inlineStr">
        <is>
          <t>-</t>
        </is>
      </c>
      <c r="AI27" s="100" t="inlineStr">
        <is>
          <t>-</t>
        </is>
      </c>
      <c r="AJ27" s="100" t="inlineStr">
        <is>
          <t>-</t>
        </is>
      </c>
      <c r="AK27" s="100" t="inlineStr">
        <is>
          <t>-</t>
        </is>
      </c>
      <c r="AL27" s="100" t="inlineStr">
        <is>
          <t>-</t>
        </is>
      </c>
      <c r="AM27" s="100" t="inlineStr">
        <is>
          <t>-</t>
        </is>
      </c>
      <c r="AN27" s="100" t="inlineStr">
        <is>
          <t>-</t>
        </is>
      </c>
      <c r="AO27" s="100" t="inlineStr">
        <is>
          <t>-</t>
        </is>
      </c>
      <c r="AP27" s="100" t="inlineStr">
        <is>
          <t>-</t>
        </is>
      </c>
      <c r="AQ27" s="100" t="inlineStr">
        <is>
          <t>-</t>
        </is>
      </c>
      <c r="AR27" s="100" t="inlineStr">
        <is>
          <t>-</t>
        </is>
      </c>
      <c r="AS27" s="100" t="inlineStr">
        <is>
          <t>-</t>
        </is>
      </c>
      <c r="AT27" s="100" t="inlineStr">
        <is>
          <t>-</t>
        </is>
      </c>
      <c r="AU27" s="100" t="inlineStr">
        <is>
          <t>-</t>
        </is>
      </c>
      <c r="AV27" s="100" t="inlineStr">
        <is>
          <t>-</t>
        </is>
      </c>
      <c r="AW27" s="100" t="inlineStr">
        <is>
          <t>-</t>
        </is>
      </c>
      <c r="AX27" s="100" t="inlineStr">
        <is>
          <t>-</t>
        </is>
      </c>
      <c r="AY27" s="6" t="inlineStr">
        <is>
          <t>SG5; MAS 5.16</t>
        </is>
      </c>
      <c r="AZ27" s="100" t="inlineStr">
        <is>
          <t>-</t>
        </is>
      </c>
      <c r="BA27" s="100" t="inlineStr">
        <is>
          <t>-</t>
        </is>
      </c>
    </row>
    <row r="28" ht="60" customHeight="1">
      <c r="A28" s="5" t="inlineStr">
        <is>
          <t>AI-R23</t>
        </is>
      </c>
      <c r="B28" s="5" t="inlineStr">
        <is>
          <t>Skill, Plugin and MCP Server Supply Chain Compromise</t>
        </is>
      </c>
      <c r="C28" s="6" t="inlineStr">
        <is>
          <t>AIR-SEC-026; AIR-SEC-030</t>
        </is>
      </c>
      <c r="D28" s="6" t="inlineStr">
        <is>
          <t>AIR-PREV-010; AIR-PREV-019; AIR-PREV-020; AIR-PREV-025</t>
        </is>
      </c>
      <c r="E28" s="6" t="inlineStr">
        <is>
          <t>05 Supply-chain and artifact integrity; 12 Tool access and authorization</t>
        </is>
      </c>
      <c r="F28" s="6" t="inlineStr">
        <is>
          <t>GOVERN 6.1; MAP 4.1; MAP 4.2; MANAGE 3.1; MANAGE 3.2</t>
        </is>
      </c>
      <c r="G28" s="6" t="inlineStr">
        <is>
          <t>Value Chain and Component Integration</t>
        </is>
      </c>
      <c r="H28" s="6" t="inlineStr">
        <is>
          <t>RG.1</t>
        </is>
      </c>
      <c r="I28" s="6" t="inlineStr">
        <is>
          <t>LLM03:2025</t>
        </is>
      </c>
      <c r="J28" s="6" t="inlineStr">
        <is>
          <t>ASI02; ASI04</t>
        </is>
      </c>
      <c r="K28" s="6" t="inlineStr">
        <is>
          <t>MCP02:2025; MCP03:2025; MCP04:2025; MCP05:2025; MCP09:2025</t>
        </is>
      </c>
      <c r="L28" s="6" t="inlineStr">
        <is>
          <t>AML.T0010; AML.T0099; AML.T0109; AML.T0110; AML.T0111; AML.T0115</t>
        </is>
      </c>
      <c r="M28" s="6" t="inlineStr">
        <is>
          <t>AML.M0014; AML.M0016; AML.M0023; AML.M0028</t>
        </is>
      </c>
      <c r="N28" s="6" t="inlineStr">
        <is>
          <t>NISTAML.011; NISTAML.021; NISTAML.023; NISTAML.026; NISTAML.039; NISTAML.051; 3.5 Security of agents</t>
        </is>
      </c>
      <c r="O28" s="6" t="inlineStr">
        <is>
          <t>A.4.2; A.4.4; A.6.2.7; A.7.5; A.10.3</t>
        </is>
      </c>
      <c r="P28" s="100" t="inlineStr">
        <is>
          <t>-</t>
        </is>
      </c>
      <c r="Q28" s="6" t="inlineStr">
        <is>
          <t>A.5.9; A.5.19; A.5.21; A.8.8; A.8.9; A.8.18; A.8.19; A.8.30; A.8.32</t>
        </is>
      </c>
      <c r="R28" s="100" t="inlineStr">
        <is>
          <t>-</t>
        </is>
      </c>
      <c r="S28" s="100" t="inlineStr">
        <is>
          <t>-</t>
        </is>
      </c>
      <c r="T28" s="100" t="inlineStr">
        <is>
          <t>-</t>
        </is>
      </c>
      <c r="U28" s="100" t="inlineStr">
        <is>
          <t>-</t>
        </is>
      </c>
      <c r="V28" s="100" t="inlineStr">
        <is>
          <t>-</t>
        </is>
      </c>
      <c r="W28" s="100" t="inlineStr">
        <is>
          <t>-</t>
        </is>
      </c>
      <c r="X28" s="6" t="inlineStr">
        <is>
          <t>6.3.4, 6.3.5</t>
        </is>
      </c>
      <c r="Y28" s="100" t="inlineStr">
        <is>
          <t>-</t>
        </is>
      </c>
      <c r="Z28" s="100" t="inlineStr">
        <is>
          <t>-</t>
        </is>
      </c>
      <c r="AA28" s="6" t="inlineStr">
        <is>
          <t>5259-3, 9</t>
        </is>
      </c>
      <c r="AB28" s="6" t="inlineStr">
        <is>
          <t>GV.SC; ID.AM; ID.RA; PR.PS</t>
        </is>
      </c>
      <c r="AC28" s="6" t="inlineStr">
        <is>
          <t>CIS 2; CIS 7; CIS 15; CIS 16</t>
        </is>
      </c>
      <c r="AD28" s="6" t="inlineStr">
        <is>
          <t>CC6.8; CC7.1; CC8.1; CC9.2</t>
        </is>
      </c>
      <c r="AE28" s="6" t="inlineStr">
        <is>
          <t>PS.2; PS.3; PW.4; PW.7</t>
        </is>
      </c>
      <c r="AF28" s="6" t="inlineStr">
        <is>
          <t>12.5.1 (inventory of system components); Targeted risk analysis (not numbered in th...; Payment page scripts (not numbered; 6.4.3 ...</t>
        </is>
      </c>
      <c r="AG28" s="6" t="inlineStr">
        <is>
          <t>Adaptation and provenance; AI inventory and AI-BOM; AI software development</t>
        </is>
      </c>
      <c r="AH28" s="100" t="inlineStr">
        <is>
          <t>-</t>
        </is>
      </c>
      <c r="AI28" s="100" t="inlineStr">
        <is>
          <t>-</t>
        </is>
      </c>
      <c r="AJ28" s="100" t="inlineStr">
        <is>
          <t>-</t>
        </is>
      </c>
      <c r="AK28" s="100" t="inlineStr">
        <is>
          <t>-</t>
        </is>
      </c>
      <c r="AL28" s="100" t="inlineStr">
        <is>
          <t>-</t>
        </is>
      </c>
      <c r="AM28" s="100" t="inlineStr">
        <is>
          <t>-</t>
        </is>
      </c>
      <c r="AN28" s="100" t="inlineStr">
        <is>
          <t>-</t>
        </is>
      </c>
      <c r="AO28" s="100" t="inlineStr">
        <is>
          <t>-</t>
        </is>
      </c>
      <c r="AP28" s="100" t="inlineStr">
        <is>
          <t>-</t>
        </is>
      </c>
      <c r="AQ28" s="100" t="inlineStr">
        <is>
          <t>-</t>
        </is>
      </c>
      <c r="AR28" s="100" t="inlineStr">
        <is>
          <t>-</t>
        </is>
      </c>
      <c r="AS28" s="100" t="inlineStr">
        <is>
          <t>-</t>
        </is>
      </c>
      <c r="AT28" s="100" t="inlineStr">
        <is>
          <t>-</t>
        </is>
      </c>
      <c r="AU28" s="100" t="inlineStr">
        <is>
          <t>-</t>
        </is>
      </c>
      <c r="AV28" s="100" t="inlineStr">
        <is>
          <t>-</t>
        </is>
      </c>
      <c r="AW28" s="100" t="inlineStr">
        <is>
          <t>-</t>
        </is>
      </c>
      <c r="AX28" s="100" t="inlineStr">
        <is>
          <t>-</t>
        </is>
      </c>
      <c r="AY28" s="6" t="inlineStr">
        <is>
          <t>SG5; MAS 5.10 to 5.11; MAS 5.16</t>
        </is>
      </c>
      <c r="AZ28" s="100" t="inlineStr">
        <is>
          <t>-</t>
        </is>
      </c>
      <c r="BA28" s="6" t="inlineStr">
        <is>
          <t>Risk management frameworks: data within appro</t>
        </is>
      </c>
    </row>
    <row r="29" ht="60" customHeight="1">
      <c r="A29" s="5" t="inlineStr">
        <is>
          <t>AI-R24</t>
        </is>
      </c>
      <c r="B29" s="5" t="inlineStr">
        <is>
          <t>Tool Chain Manipulation and Injection</t>
        </is>
      </c>
      <c r="C29" s="6" t="inlineStr">
        <is>
          <t>AIR-SEC-025</t>
        </is>
      </c>
      <c r="D29" s="6" t="inlineStr">
        <is>
          <t>AIR-PREV-003; AIR-PREV-017; AIR-PREV-018; AIR-PREV-019; AIR-PREV-020; AIR-PREV-025</t>
        </is>
      </c>
      <c r="E29" s="6" t="inlineStr">
        <is>
          <t>05 Output and integration security</t>
        </is>
      </c>
      <c r="F29" s="6" t="inlineStr">
        <is>
          <t>GOVERN 6.1; MAP 4.1; MAP 4.2; MEASURE 2.7; MEASURE 2.10; MANAGE 1.3; MANAGE 3.1</t>
        </is>
      </c>
      <c r="G29" s="6" t="inlineStr">
        <is>
          <t>Information Security</t>
        </is>
      </c>
      <c r="H29" s="100" t="inlineStr">
        <is>
          <t>-</t>
        </is>
      </c>
      <c r="I29" s="6" t="inlineStr">
        <is>
          <t>LLM01:2025; LLM02:2025; LLM03:2025; LLM05:2025; LLM06:2025; LLM07:2025</t>
        </is>
      </c>
      <c r="J29" s="6" t="inlineStr">
        <is>
          <t>ASI01; ASI02; ASI04</t>
        </is>
      </c>
      <c r="K29" s="6" t="inlineStr">
        <is>
          <t>MCP03:2025; MCP05:2025; MCP06:2025</t>
        </is>
      </c>
      <c r="L29" s="6" t="inlineStr">
        <is>
          <t>AML.T0010; AML.T0051; AML.T0053; AML.T0054; AML.T0056; AML.T0057; AML.T0067; AML.T0068; AML.T0077; AML.T0086; AML.T0093; AML.T0099; AML.T0101; AML.T0109; AML.T0110</t>
        </is>
      </c>
      <c r="M29" s="6" t="inlineStr">
        <is>
          <t>AML.M0014; AML.M0020; AML.M0021; AML.M0028; AML.M0030; AML.M0033</t>
        </is>
      </c>
      <c r="N29" s="6" t="inlineStr">
        <is>
          <t>NISTAML.015; NISTAML.018; NISTAML.022; NISTAML.025; NISTAML.035; NISTAML.036; NISTAML.038; NISTAML.039; 3.5 Security of agents</t>
        </is>
      </c>
      <c r="O29" s="6" t="inlineStr">
        <is>
          <t>A.4.4; A.6.2.2; A.6.2.4; A.6.2.6; A.10.3</t>
        </is>
      </c>
      <c r="P29" s="100" t="inlineStr">
        <is>
          <t>-</t>
        </is>
      </c>
      <c r="Q29" s="6" t="inlineStr">
        <is>
          <t>A.5.3; A.5.15; A.5.19; A.5.21; A.8.3; A.8.9; A.8.16; A.8.18; A.8.19; A.8.26; A.8.27; A.8.28; A.8.32</t>
        </is>
      </c>
      <c r="R29" s="100" t="inlineStr">
        <is>
          <t>-</t>
        </is>
      </c>
      <c r="S29" s="100" t="inlineStr">
        <is>
          <t>-</t>
        </is>
      </c>
      <c r="T29" s="100" t="inlineStr">
        <is>
          <t>-</t>
        </is>
      </c>
      <c r="U29" s="100" t="inlineStr">
        <is>
          <t>-</t>
        </is>
      </c>
      <c r="V29" s="100" t="inlineStr">
        <is>
          <t>-</t>
        </is>
      </c>
      <c r="W29" s="100" t="inlineStr">
        <is>
          <t>-</t>
        </is>
      </c>
      <c r="X29" s="100" t="inlineStr">
        <is>
          <t>-</t>
        </is>
      </c>
      <c r="Y29" s="6" t="inlineStr">
        <is>
          <t>8.6, 8.7</t>
        </is>
      </c>
      <c r="Z29" s="100" t="inlineStr">
        <is>
          <t>-</t>
        </is>
      </c>
      <c r="AA29" s="100" t="inlineStr">
        <is>
          <t>-</t>
        </is>
      </c>
      <c r="AB29" s="6" t="inlineStr">
        <is>
          <t>GV.SC; PR.AA; PR.DS; PR.PS; DE.CM</t>
        </is>
      </c>
      <c r="AC29" s="6" t="inlineStr">
        <is>
          <t>CIS 2; CIS 6; CIS 13; CIS 15; CIS 16</t>
        </is>
      </c>
      <c r="AD29" s="6" t="inlineStr">
        <is>
          <t>CC6.1; CC6.3; CC6.6; CC6.8; CC7.2; CC8.1; CC9.2; PI1.4</t>
        </is>
      </c>
      <c r="AE29" s="6" t="inlineStr">
        <is>
          <t>PW.5; PW.9</t>
        </is>
      </c>
      <c r="AF29" s="6" t="inlineStr">
        <is>
          <t>6.5.1, with 6.2.4 (change procedures)</t>
        </is>
      </c>
      <c r="AG29" s="6" t="inlineStr">
        <is>
          <t>AI system inputs and functional limitations; Credentials constrained outside the AI system; Multiple agents; Reliability and failure handling; Independent egress monitoring; Computationally infeasible controls</t>
        </is>
      </c>
      <c r="AH29" s="6" t="inlineStr">
        <is>
          <t>Principle 1.4</t>
        </is>
      </c>
      <c r="AI29" s="6" t="inlineStr">
        <is>
          <t>Technical robustness and safety</t>
        </is>
      </c>
      <c r="AJ29" s="6" t="inlineStr">
        <is>
          <t>Safety and security</t>
        </is>
      </c>
      <c r="AK29" s="100" t="inlineStr">
        <is>
          <t>-</t>
        </is>
      </c>
      <c r="AL29" s="100" t="inlineStr">
        <is>
          <t>-</t>
        </is>
      </c>
      <c r="AM29" s="100" t="inlineStr">
        <is>
          <t>-</t>
        </is>
      </c>
      <c r="AN29" s="100" t="inlineStr">
        <is>
          <t>-</t>
        </is>
      </c>
      <c r="AO29" s="6" t="inlineStr">
        <is>
          <t>U2; U11; S6; S7</t>
        </is>
      </c>
      <c r="AP29" s="6" t="inlineStr">
        <is>
          <t>E5; E7; E17</t>
        </is>
      </c>
      <c r="AQ29" s="6" t="inlineStr">
        <is>
          <t>UK10</t>
        </is>
      </c>
      <c r="AR29" s="6" t="inlineStr">
        <is>
          <t>US3</t>
        </is>
      </c>
      <c r="AS29" s="6" t="inlineStr">
        <is>
          <t>AU8</t>
        </is>
      </c>
      <c r="AT29" s="100" t="inlineStr">
        <is>
          <t>-</t>
        </is>
      </c>
      <c r="AU29" s="100" t="inlineStr">
        <is>
          <t>-</t>
        </is>
      </c>
      <c r="AV29" s="6" t="inlineStr">
        <is>
          <t>CN7</t>
        </is>
      </c>
      <c r="AW29" s="6" t="inlineStr">
        <is>
          <t>IN8; IN10; IN11</t>
        </is>
      </c>
      <c r="AX29" s="100" t="inlineStr">
        <is>
          <t>-</t>
        </is>
      </c>
      <c r="AY29" s="6" t="inlineStr">
        <is>
          <t>SG2; SG5; SG7; SG8; MAS 5.16</t>
        </is>
      </c>
      <c r="AZ29" s="6" t="inlineStr">
        <is>
          <t>KR4</t>
        </is>
      </c>
      <c r="BA29" s="6" t="inlineStr">
        <is>
          <t xml:space="preserve">HK5; Risk management frameworks: data within appro; Accountability for outputs: controls against </t>
        </is>
      </c>
    </row>
    <row r="30" ht="60" customHeight="1">
      <c r="A30" s="5" t="inlineStr">
        <is>
          <t>AI-R25</t>
        </is>
      </c>
      <c r="B30" s="5" t="inlineStr">
        <is>
          <t>Multi-Agent Trust Boundary Violation</t>
        </is>
      </c>
      <c r="C30" s="6" t="inlineStr">
        <is>
          <t>AIR-OP-028</t>
        </is>
      </c>
      <c r="D30" s="6" t="inlineStr">
        <is>
          <t>AIR-PREV-022; AIR-PREV-023</t>
        </is>
      </c>
      <c r="E30" s="6" t="inlineStr">
        <is>
          <t>12 Multi-agent orchestration</t>
        </is>
      </c>
      <c r="F30" s="6" t="inlineStr">
        <is>
          <t>GOVERN 1.6; MEASURE 2.4; MEASURE 2.7; MEASURE 2.8; MANAGE 1.3; MANAGE 2.3; MANAGE 2.4</t>
        </is>
      </c>
      <c r="G30" s="100" t="inlineStr">
        <is>
          <t>-</t>
        </is>
      </c>
      <c r="H30" s="6" t="inlineStr">
        <is>
          <t>RG.2; RG.4; AC.2; AC.3; AC.4</t>
        </is>
      </c>
      <c r="I30" s="6" t="inlineStr">
        <is>
          <t>LLM06:2025</t>
        </is>
      </c>
      <c r="J30" s="6" t="inlineStr">
        <is>
          <t>ASI03; ASI05; ASI07; ASI08; ASI10</t>
        </is>
      </c>
      <c r="K30" s="100" t="inlineStr">
        <is>
          <t>-</t>
        </is>
      </c>
      <c r="L30" s="6" t="inlineStr">
        <is>
          <t>AML.T0012; AML.T0034; AML.T0050; AML.T0053; AML.T0073; AML.T0081; AML.T0091; AML.T0102; AML.T0105</t>
        </is>
      </c>
      <c r="M30" s="6" t="inlineStr">
        <is>
          <t>AML.M0011; AML.M0019; AML.M0024; AML.M0032; AML.M0036; AML.M0037; AML.M0038</t>
        </is>
      </c>
      <c r="N30" s="6" t="inlineStr">
        <is>
          <t>NISTAML.039; 3.5 Security of agents</t>
        </is>
      </c>
      <c r="O30" s="6" t="inlineStr">
        <is>
          <t>A.4.2; A.4.5; A.6.2.5; A.6.2.6</t>
        </is>
      </c>
      <c r="P30" s="100" t="inlineStr">
        <is>
          <t>-</t>
        </is>
      </c>
      <c r="Q30" s="6" t="inlineStr">
        <is>
          <t>A.5.15; A.5.16; A.5.17; A.5.18; A.5.26; A.8.5; A.8.15; A.8.16; A.8.22; A.8.27; A.8.31</t>
        </is>
      </c>
      <c r="R30" s="100" t="inlineStr">
        <is>
          <t>-</t>
        </is>
      </c>
      <c r="S30" s="100" t="inlineStr">
        <is>
          <t>-</t>
        </is>
      </c>
      <c r="T30" s="100" t="inlineStr">
        <is>
          <t>-</t>
        </is>
      </c>
      <c r="U30" s="100" t="inlineStr">
        <is>
          <t>-</t>
        </is>
      </c>
      <c r="V30" s="100" t="inlineStr">
        <is>
          <t>-</t>
        </is>
      </c>
      <c r="W30" s="6" t="inlineStr">
        <is>
          <t xml:space="preserve">Controllability, including human-in-the-loop </t>
        </is>
      </c>
      <c r="X30" s="100" t="inlineStr">
        <is>
          <t>-</t>
        </is>
      </c>
      <c r="Y30" s="100" t="inlineStr">
        <is>
          <t>-</t>
        </is>
      </c>
      <c r="Z30" s="100" t="inlineStr">
        <is>
          <t>-</t>
        </is>
      </c>
      <c r="AA30" s="100" t="inlineStr">
        <is>
          <t>-</t>
        </is>
      </c>
      <c r="AB30" s="6" t="inlineStr">
        <is>
          <t>PR.AA; PR.PS; PR.IR; DE.CM; RS.MA; RS.MI</t>
        </is>
      </c>
      <c r="AC30" s="6" t="inlineStr">
        <is>
          <t>CIS 4; CIS 5; CIS 6; CIS 8; CIS 12; CIS 16; CIS 17</t>
        </is>
      </c>
      <c r="AD30" s="6" t="inlineStr">
        <is>
          <t>CC6.1; CC6.2; CC6.6; CC6.8; CC7.2; CC7.4</t>
        </is>
      </c>
      <c r="AE30" s="6" t="inlineStr">
        <is>
          <t>PO.5</t>
        </is>
      </c>
      <c r="AF30" s="6" t="inlineStr">
        <is>
          <t>6.5.1, with 6.2.4 (change procedures); 8.4.2 (MFA into the CDE); Penetration and segmentation testing (not ...</t>
        </is>
      </c>
      <c r="AG30" s="6" t="inlineStr">
        <is>
          <t>Limits of AI use; Access and containment; Human in the loop or over the loop; Multiple agents; Account data given to AI; AI in "individual" and "user" roles; Cleartext card data (Example 4); Computationally infeasible controls; Minimise blast radius</t>
        </is>
      </c>
      <c r="AH30" s="6" t="inlineStr">
        <is>
          <t>Principle 1.4</t>
        </is>
      </c>
      <c r="AI30" s="6" t="inlineStr">
        <is>
          <t>Human agency and oversight</t>
        </is>
      </c>
      <c r="AJ30" s="100" t="inlineStr">
        <is>
          <t>-</t>
        </is>
      </c>
      <c r="AK30" s="100" t="inlineStr">
        <is>
          <t>-</t>
        </is>
      </c>
      <c r="AL30" s="100" t="inlineStr">
        <is>
          <t>-</t>
        </is>
      </c>
      <c r="AM30" s="100" t="inlineStr">
        <is>
          <t>-</t>
        </is>
      </c>
      <c r="AN30" s="100" t="inlineStr">
        <is>
          <t>-</t>
        </is>
      </c>
      <c r="AO30" s="6" t="inlineStr">
        <is>
          <t>U9</t>
        </is>
      </c>
      <c r="AP30" s="100" t="inlineStr">
        <is>
          <t>-</t>
        </is>
      </c>
      <c r="AQ30" s="100" t="inlineStr">
        <is>
          <t>-</t>
        </is>
      </c>
      <c r="AR30" s="100" t="inlineStr">
        <is>
          <t>-</t>
        </is>
      </c>
      <c r="AS30" s="100" t="inlineStr">
        <is>
          <t>-</t>
        </is>
      </c>
      <c r="AT30" s="100" t="inlineStr">
        <is>
          <t>-</t>
        </is>
      </c>
      <c r="AU30" s="100" t="inlineStr">
        <is>
          <t>-</t>
        </is>
      </c>
      <c r="AV30" s="100" t="inlineStr">
        <is>
          <t>-</t>
        </is>
      </c>
      <c r="AW30" s="6" t="inlineStr">
        <is>
          <t>IN6; IN13</t>
        </is>
      </c>
      <c r="AX30" s="100" t="inlineStr">
        <is>
          <t>-</t>
        </is>
      </c>
      <c r="AY30" s="6" t="inlineStr">
        <is>
          <t>SG2; SG5; SG7; MAS 4.5 to 4.9; MAS 5.3</t>
        </is>
      </c>
      <c r="AZ30" s="100" t="inlineStr">
        <is>
          <t>-</t>
        </is>
      </c>
      <c r="BA30" s="6" t="inlineStr">
        <is>
          <t>HK1; HK9; Risk-commensurate management: materiality and</t>
        </is>
      </c>
    </row>
    <row r="31" ht="60" customHeight="1">
      <c r="A31" s="5" t="inlineStr">
        <is>
          <t>AI-R26</t>
        </is>
      </c>
      <c r="B31" s="5" t="inlineStr">
        <is>
          <t>Reasoning Trace and Intermediate Output Exposure</t>
        </is>
      </c>
      <c r="C31" s="100" t="inlineStr">
        <is>
          <t>-</t>
        </is>
      </c>
      <c r="D31" s="6" t="inlineStr">
        <is>
          <t>AIR-DET-004; AIR-DET-021; AIR-PREV-003; AIR-PREV-019</t>
        </is>
      </c>
      <c r="E31" s="6" t="inlineStr">
        <is>
          <t>05 Inference-time (input) attacks</t>
        </is>
      </c>
      <c r="F31" s="6" t="inlineStr">
        <is>
          <t>MEASURE 2.4; MEASURE 2.7; MEASURE 2.8; MEASURE 2.10; MANAGE 4.1</t>
        </is>
      </c>
      <c r="G31" s="100" t="inlineStr">
        <is>
          <t>-</t>
        </is>
      </c>
      <c r="H31" s="6" t="inlineStr">
        <is>
          <t>CM.3; TR.3</t>
        </is>
      </c>
      <c r="I31" s="6" t="inlineStr">
        <is>
          <t>LLM02:2025; LLM05:2025</t>
        </is>
      </c>
      <c r="J31" s="100" t="inlineStr">
        <is>
          <t>-</t>
        </is>
      </c>
      <c r="K31" s="100" t="inlineStr">
        <is>
          <t>-</t>
        </is>
      </c>
      <c r="L31" s="6" t="inlineStr">
        <is>
          <t>AML.T0057; AML.T0067; AML.T0077</t>
        </is>
      </c>
      <c r="M31" s="6" t="inlineStr">
        <is>
          <t>AML.M0020; AML.M0024; AML.M0033</t>
        </is>
      </c>
      <c r="N31" s="6" t="inlineStr">
        <is>
          <t>NISTAML.035; NISTAML.036; NISTAML.038</t>
        </is>
      </c>
      <c r="O31" s="6" t="inlineStr">
        <is>
          <t>A.6.2.4; A.6.2.6; A.6.2.8</t>
        </is>
      </c>
      <c r="P31" s="100" t="inlineStr">
        <is>
          <t>-</t>
        </is>
      </c>
      <c r="Q31" s="6" t="inlineStr">
        <is>
          <t>A.5.28; A.5.33; A.8.15; A.8.17; A.8.26; A.8.28</t>
        </is>
      </c>
      <c r="R31" s="100" t="inlineStr">
        <is>
          <t>-</t>
        </is>
      </c>
      <c r="S31" s="100" t="inlineStr">
        <is>
          <t>-</t>
        </is>
      </c>
      <c r="T31" s="100" t="inlineStr">
        <is>
          <t>-</t>
        </is>
      </c>
      <c r="U31" s="100" t="inlineStr">
        <is>
          <t>-</t>
        </is>
      </c>
      <c r="V31" s="100" t="inlineStr">
        <is>
          <t>-</t>
        </is>
      </c>
      <c r="W31" s="100" t="inlineStr">
        <is>
          <t>-</t>
        </is>
      </c>
      <c r="X31" s="100" t="inlineStr">
        <is>
          <t>-</t>
        </is>
      </c>
      <c r="Y31" s="100" t="inlineStr">
        <is>
          <t>-</t>
        </is>
      </c>
      <c r="Z31" s="100" t="inlineStr">
        <is>
          <t>-</t>
        </is>
      </c>
      <c r="AA31" s="100" t="inlineStr">
        <is>
          <t>-</t>
        </is>
      </c>
      <c r="AB31" s="6" t="inlineStr">
        <is>
          <t>PR.PS; DE.CM</t>
        </is>
      </c>
      <c r="AC31" s="6" t="inlineStr">
        <is>
          <t>CIS 8; CIS 16</t>
        </is>
      </c>
      <c r="AD31" s="6" t="inlineStr">
        <is>
          <t>CC7.2; PI1.4</t>
        </is>
      </c>
      <c r="AE31" s="6" t="inlineStr">
        <is>
          <t>PS.3; PW.5</t>
        </is>
      </c>
      <c r="AF31" s="6" t="inlineStr">
        <is>
          <t>Logging (not numbered; Requirement 10 [Rec...</t>
        </is>
      </c>
      <c r="AG31" s="6" t="inlineStr">
        <is>
          <t>Reliability and failure handling; Independent egress monitoring</t>
        </is>
      </c>
      <c r="AH31" s="6" t="inlineStr">
        <is>
          <t>Principle 1.5</t>
        </is>
      </c>
      <c r="AI31" s="6" t="inlineStr">
        <is>
          <t>Transparency; Accountability</t>
        </is>
      </c>
      <c r="AJ31" s="100" t="inlineStr">
        <is>
          <t>-</t>
        </is>
      </c>
      <c r="AK31" s="6" t="inlineStr">
        <is>
          <t>IEEE 7001-2021</t>
        </is>
      </c>
      <c r="AL31" s="6" t="inlineStr">
        <is>
          <t>Art. 9</t>
        </is>
      </c>
      <c r="AM31" s="100" t="inlineStr">
        <is>
          <t>-</t>
        </is>
      </c>
      <c r="AN31" s="100" t="inlineStr">
        <is>
          <t>-</t>
        </is>
      </c>
      <c r="AO31" s="6" t="inlineStr">
        <is>
          <t>U11; S6; S7</t>
        </is>
      </c>
      <c r="AP31" s="6" t="inlineStr">
        <is>
          <t>E1c; E7</t>
        </is>
      </c>
      <c r="AQ31" s="6" t="inlineStr">
        <is>
          <t>UK10</t>
        </is>
      </c>
      <c r="AR31" s="100" t="inlineStr">
        <is>
          <t>-</t>
        </is>
      </c>
      <c r="AS31" s="100" t="inlineStr">
        <is>
          <t>-</t>
        </is>
      </c>
      <c r="AT31" s="100" t="inlineStr">
        <is>
          <t>-</t>
        </is>
      </c>
      <c r="AU31" s="100" t="inlineStr">
        <is>
          <t>-</t>
        </is>
      </c>
      <c r="AV31" s="100" t="inlineStr">
        <is>
          <t>-</t>
        </is>
      </c>
      <c r="AW31" s="100" t="inlineStr">
        <is>
          <t>-</t>
        </is>
      </c>
      <c r="AX31" s="100" t="inlineStr">
        <is>
          <t>-</t>
        </is>
      </c>
      <c r="AY31" s="6" t="inlineStr">
        <is>
          <t>SG5; SG7; MAS 5.23</t>
        </is>
      </c>
      <c r="AZ31" s="100" t="inlineStr">
        <is>
          <t>-</t>
        </is>
      </c>
      <c r="BA31" s="6" t="inlineStr">
        <is>
          <t xml:space="preserve">Risk-commensurate management: materiality and; Accountability for outputs: controls against </t>
        </is>
      </c>
    </row>
    <row r="32" ht="60" customHeight="1">
      <c r="A32" s="5" t="inlineStr">
        <is>
          <t>AI-R27</t>
        </is>
      </c>
      <c r="B32" s="5" t="inlineStr">
        <is>
          <t>Intellectual Property and Copyright Infringement</t>
        </is>
      </c>
      <c r="C32" s="6" t="inlineStr">
        <is>
          <t>AIR-RC-023</t>
        </is>
      </c>
      <c r="D32" s="6" t="inlineStr">
        <is>
          <t>AIR-DET-001; AIR-PREV-007</t>
        </is>
      </c>
      <c r="E32" s="6" t="inlineStr">
        <is>
          <t>03 Sourcing and provenance; 03 Training-data rights and IP; 08 IP and liability</t>
        </is>
      </c>
      <c r="F32" s="6" t="inlineStr">
        <is>
          <t>GOVERN 1.1; GOVERN 1.2; GOVERN 1.4; GOVERN 2.1; GOVERN 2.2; MAP 4.1; MAP 5.1; MEASURE 2.10; MANAGE 4.1</t>
        </is>
      </c>
      <c r="G32" s="6" t="inlineStr">
        <is>
          <t>Intellectual Property</t>
        </is>
      </c>
      <c r="H32" s="6" t="inlineStr">
        <is>
          <t>GV.1; GV.2; CM.1; RG.5</t>
        </is>
      </c>
      <c r="I32" s="6" t="inlineStr">
        <is>
          <t>LLM02:2025</t>
        </is>
      </c>
      <c r="J32" s="100" t="inlineStr">
        <is>
          <t>-</t>
        </is>
      </c>
      <c r="K32" s="100" t="inlineStr">
        <is>
          <t>-</t>
        </is>
      </c>
      <c r="L32" s="6" t="inlineStr">
        <is>
          <t>AML.T0057</t>
        </is>
      </c>
      <c r="M32" s="6" t="inlineStr">
        <is>
          <t>AML.M0018; AML.M0020</t>
        </is>
      </c>
      <c r="N32" s="6" t="inlineStr">
        <is>
          <t>NISTAML.018</t>
        </is>
      </c>
      <c r="O32" s="6" t="inlineStr">
        <is>
          <t>A.2.2; A.2.3; A.2.4; A.3.2; A.5.2; A.5.3; A.5.4; A.7.5; A.9.2; A.10.3</t>
        </is>
      </c>
      <c r="P32" s="100" t="inlineStr">
        <is>
          <t>-</t>
        </is>
      </c>
      <c r="Q32" s="6" t="inlineStr">
        <is>
          <t>A.5.1; A.5.2; A.5.4; A.5.10; A.5.12; A.5.14; A.5.20; A.5.31; A.5.32; A.5.34; A.6.2; A.6.4; A.8.1; A.8.10; A.8.11; A.8.12</t>
        </is>
      </c>
      <c r="R32" s="100" t="inlineStr">
        <is>
          <t>-</t>
        </is>
      </c>
      <c r="S32" s="6" t="inlineStr">
        <is>
          <t>5.2 to 5.4</t>
        </is>
      </c>
      <c r="T32" s="100" t="inlineStr">
        <is>
          <t>-</t>
        </is>
      </c>
      <c r="U32" s="100" t="inlineStr">
        <is>
          <t>-</t>
        </is>
      </c>
      <c r="V32" s="6" t="inlineStr">
        <is>
          <t>Governance of data use; Compliance</t>
        </is>
      </c>
      <c r="W32" s="6" t="inlineStr">
        <is>
          <t>AI-specific privacy threats</t>
        </is>
      </c>
      <c r="X32" s="100" t="inlineStr">
        <is>
          <t>-</t>
        </is>
      </c>
      <c r="Y32" s="100" t="inlineStr">
        <is>
          <t>-</t>
        </is>
      </c>
      <c r="Z32" s="100" t="inlineStr">
        <is>
          <t>-</t>
        </is>
      </c>
      <c r="AA32" s="100" t="inlineStr">
        <is>
          <t>-</t>
        </is>
      </c>
      <c r="AB32" s="6" t="inlineStr">
        <is>
          <t>GV.OC; GV.RR; GV.PO; PR.DS; DE.CM</t>
        </is>
      </c>
      <c r="AC32" s="6" t="inlineStr">
        <is>
          <t>CIS 3; CIS 9</t>
        </is>
      </c>
      <c r="AD32" s="6" t="inlineStr">
        <is>
          <t>CC1.3; CC2.2; CC5.3; CC6.7; C1.1; P1.1; P3.1; P4.1; P4.2; P5.1</t>
        </is>
      </c>
      <c r="AE32" s="6" t="inlineStr">
        <is>
          <t>PO.1; PO.2</t>
        </is>
      </c>
      <c r="AF32" s="6" t="inlineStr">
        <is>
          <t>Requirement 3, and 3.3.1 (no storage of se...</t>
        </is>
      </c>
      <c r="AG32" s="6" t="inlineStr">
        <is>
          <t>AI system owner</t>
        </is>
      </c>
      <c r="AH32" s="6" t="inlineStr">
        <is>
          <t>Principle 1.2; Principle 1.3; Principle 1.5</t>
        </is>
      </c>
      <c r="AI32" s="6" t="inlineStr">
        <is>
          <t>Privacy and data governance; Accountability</t>
        </is>
      </c>
      <c r="AJ32" s="6" t="inlineStr">
        <is>
          <t>Right to privacy and data protection; Multi-stakeholder and adaptive governance ...; Responsibility and accountability</t>
        </is>
      </c>
      <c r="AK32" s="6" t="inlineStr">
        <is>
          <t>IEEE 7002-2022</t>
        </is>
      </c>
      <c r="AL32" s="6" t="inlineStr">
        <is>
          <t>Art. 9; Art. 11</t>
        </is>
      </c>
      <c r="AM32" s="6" t="inlineStr">
        <is>
          <t>Action 5; Action 11</t>
        </is>
      </c>
      <c r="AN32" s="6" t="inlineStr">
        <is>
          <t>Automated decisions about individuals; Requests from individuals</t>
        </is>
      </c>
      <c r="AO32" s="6" t="inlineStr">
        <is>
          <t>U1; U3; U4; U5; U6; U7; U12; S1; S2; S3; Q1; Q3; B1; B2; O2</t>
        </is>
      </c>
      <c r="AP32" s="6" t="inlineStr">
        <is>
          <t>E1a; E1b; E1c; E2; E3; E4; E12; E17</t>
        </is>
      </c>
      <c r="AQ32" s="6" t="inlineStr">
        <is>
          <t>UK1; UK2; UK3; UK4; UK5; UK13</t>
        </is>
      </c>
      <c r="AR32" s="6" t="inlineStr">
        <is>
          <t>US5; US8; US9; US12; US14; US15; US17</t>
        </is>
      </c>
      <c r="AS32" s="6" t="inlineStr">
        <is>
          <t>AU1; AU2; AU3; AU3a; AU4; AU7</t>
        </is>
      </c>
      <c r="AT32" s="6" t="inlineStr">
        <is>
          <t>BR2; BR3</t>
        </is>
      </c>
      <c r="AU32" s="6" t="inlineStr">
        <is>
          <t>CA2; CA3; CA5; CA7; CA8</t>
        </is>
      </c>
      <c r="AV32" s="6" t="inlineStr">
        <is>
          <t>CN1; CN2; CN5; CN7; CN9</t>
        </is>
      </c>
      <c r="AW32" s="6" t="inlineStr">
        <is>
          <t>IN1; IN2; IN3; IN4; IN11; IN13</t>
        </is>
      </c>
      <c r="AX32" s="6" t="inlineStr">
        <is>
          <t>JP1; JP2; JP3; JP4</t>
        </is>
      </c>
      <c r="AY32" s="6" t="inlineStr">
        <is>
          <t>SG1; SG4; SG5; MAS 2.3 to 2.5; MAS 3.1 to 3.4; MAS 3.5; MAS 1.5, 3.6; MAS 5.4</t>
        </is>
      </c>
      <c r="AZ32" s="6" t="inlineStr">
        <is>
          <t>KR5; KR6; KR7</t>
        </is>
      </c>
      <c r="BA32" s="6" t="inlineStr">
        <is>
          <t>HK1; HK2; HK5; HK6; HK7; Board and senior management accountability: t; Risk management frameworks: data within appro; Ethical use and fair treatment: no unfair bia</t>
        </is>
      </c>
    </row>
    <row r="33" ht="60" customHeight="1">
      <c r="A33" s="5" t="inlineStr">
        <is>
          <t>AI-R28</t>
        </is>
      </c>
      <c r="B33" s="5" t="inlineStr">
        <is>
          <t>Regulatory Non-Compliance from Unsupervised AI Decisions</t>
        </is>
      </c>
      <c r="C33" s="6" t="inlineStr">
        <is>
          <t>AIR-RC-022</t>
        </is>
      </c>
      <c r="D33" s="6" t="inlineStr">
        <is>
          <t>AIR-DET-011; AIR-DET-021; AIR-PREV-007; AIR-PREV-024</t>
        </is>
      </c>
      <c r="E33" s="6" t="inlineStr">
        <is>
          <t>01 Roles and accountability; 03 Privacy and consent; 08 Regulatory compliance</t>
        </is>
      </c>
      <c r="F33" s="6" t="inlineStr">
        <is>
          <t>GOVERN 1.1; GOVERN 1.2; GOVERN 1.3; GOVERN 1.4; GOVERN 1.5; GOVERN 2.1; GOVERN 2.2; GOVERN 3.2; MAP 1.1; MAP 1.5; MAP 3.5; MAP 5.1; MEASURE 1.2; MEASURE 1.3; MEASURE 2.10; MANAGE 1.2; MANAGE 1.4; MANAGE 4.2</t>
        </is>
      </c>
      <c r="G33" s="100" t="inlineStr">
        <is>
          <t>-</t>
        </is>
      </c>
      <c r="H33" s="6" t="inlineStr">
        <is>
          <t>GV.1; GV.2; GV.4; CM.1; CM.3; CM.4; RG.5; TR.1; TR.2</t>
        </is>
      </c>
      <c r="I33" s="6" t="inlineStr">
        <is>
          <t>LLM02:2025; LLM06:2025</t>
        </is>
      </c>
      <c r="J33" s="6" t="inlineStr">
        <is>
          <t>ASI09</t>
        </is>
      </c>
      <c r="K33" s="100" t="inlineStr">
        <is>
          <t>-</t>
        </is>
      </c>
      <c r="L33" s="6" t="inlineStr">
        <is>
          <t>AML.T0057</t>
        </is>
      </c>
      <c r="M33" s="6" t="inlineStr">
        <is>
          <t>AML.M0018; AML.M0029</t>
        </is>
      </c>
      <c r="N33" s="6" t="inlineStr">
        <is>
          <t>NISTAML.027</t>
        </is>
      </c>
      <c r="O33" s="6" t="inlineStr">
        <is>
          <t>A.2.2; A.2.3; A.2.4; A.3.2; A.5.2; A.5.3; A.5.4; A.5.5; A.9.2; A.9.3</t>
        </is>
      </c>
      <c r="P33" s="6" t="inlineStr">
        <is>
          <t>Clause 6.1.2; Clause 6.1.3; Clause 9.1; Clause 9.2; Clause 9.3; Clause 10.2</t>
        </is>
      </c>
      <c r="Q33" s="6" t="inlineStr">
        <is>
          <t>A.5.1; A.5.2; A.5.4; A.5.8; A.5.10; A.5.31; A.5.33; A.5.34; A.5.35; A.5.36; A.6.2; A.6.4; A.8.10; A.8.11</t>
        </is>
      </c>
      <c r="R33" s="6" t="inlineStr">
        <is>
          <t>Clause 6.1.2; Clause 6.1.3; Clause 9.2</t>
        </is>
      </c>
      <c r="S33" s="6" t="inlineStr">
        <is>
          <t>5.2 to 5.4</t>
        </is>
      </c>
      <c r="T33" s="6" t="inlineStr">
        <is>
          <t>5.4, 5.12; Approval process; AI system information, including intended and; Data information and quality; Deployment environment (geography, languages,; Relevant interested parties; Actual and reasonably foreseeable impacts, in; Measures to address harms and benefits</t>
        </is>
      </c>
      <c r="U33" s="6" t="inlineStr">
        <is>
          <t>Access to the documentation of the organizati; Maintaining certification</t>
        </is>
      </c>
      <c r="V33" s="6" t="inlineStr">
        <is>
          <t>Governance of decision-making; Governance of data use; Compliance; Risk (appetite, management, objectives, sourc</t>
        </is>
      </c>
      <c r="W33" s="6" t="inlineStr">
        <is>
          <t xml:space="preserve">AI-specific privacy threats; Controllability, including human-in-the-loop </t>
        </is>
      </c>
      <c r="X33" s="6" t="inlineStr">
        <is>
          <t>6.3.4, 6.3.5</t>
        </is>
      </c>
      <c r="Y33" s="100" t="inlineStr">
        <is>
          <t>-</t>
        </is>
      </c>
      <c r="Z33" s="6" t="inlineStr">
        <is>
          <t>Trustworthiness (robustness, reliability, res</t>
        </is>
      </c>
      <c r="AA33" s="100" t="inlineStr">
        <is>
          <t>-</t>
        </is>
      </c>
      <c r="AB33" s="6" t="inlineStr">
        <is>
          <t>GV.OC; GV.RM; GV.RR; GV.PO; GV.OV; ID.RA; ID.IM; PR.DS</t>
        </is>
      </c>
      <c r="AC33" s="6" t="inlineStr">
        <is>
          <t>CIS 3</t>
        </is>
      </c>
      <c r="AD33" s="6" t="inlineStr">
        <is>
          <t>CC1.3; CC2.2; CC3.1; CC3.2; CC4.1; CC4.2; CC5.3; CC9.1; P1.1; P3.1; P4.1; P4.2; P5.1</t>
        </is>
      </c>
      <c r="AE33" s="6" t="inlineStr">
        <is>
          <t>PO.1; PO.2; PW.1; RV.2</t>
        </is>
      </c>
      <c r="AF33" s="6" t="inlineStr">
        <is>
          <t>Targeted risk analysis (not numbered in th...</t>
        </is>
      </c>
      <c r="AG33" s="6" t="inlineStr">
        <is>
          <t>Limits of AI use; Adaptation and provenance; Human in the loop or over the loop; Reliability and failure handling; Categorising AI system risk; AI system owner; AI in "individual" and "user" roles</t>
        </is>
      </c>
      <c r="AH33" s="6" t="inlineStr">
        <is>
          <t>Principle 1.2; Principle 1.3; Principle 1.5</t>
        </is>
      </c>
      <c r="AI33" s="6" t="inlineStr">
        <is>
          <t>Human agency and oversight; Privacy and data governance; Accountability</t>
        </is>
      </c>
      <c r="AJ33" s="6" t="inlineStr">
        <is>
          <t>Proportionality and do no harm; Right to privacy and data protection; Multi-stakeholder and adaptive governance ...; Responsibility and accountability; Human oversight and determination</t>
        </is>
      </c>
      <c r="AK33" s="6" t="inlineStr">
        <is>
          <t>IEEE 7000-2021; IEEE 7002-2022</t>
        </is>
      </c>
      <c r="AL33" s="6" t="inlineStr">
        <is>
          <t>Art. 7; Art. 8; Art. 9; Art. 11; 14, 15; Art. 16</t>
        </is>
      </c>
      <c r="AM33" s="6" t="inlineStr">
        <is>
          <t>Action 1; Action 5; Action 11</t>
        </is>
      </c>
      <c r="AN33" s="6" t="inlineStr">
        <is>
          <t>Automated decisions about individuals; Impact assessment before risky processing; Requests from individuals</t>
        </is>
      </c>
      <c r="AO33" s="6" t="inlineStr">
        <is>
          <t>U1; U3; U4; U5; U6; U7; U12; S1; S2; S3; S5; Q1; Q3; B1; B2; O1; O2</t>
        </is>
      </c>
      <c r="AP33" s="6" t="inlineStr">
        <is>
          <t>E1a; E1b; E1c; E2; E3; E4; E8; E12; E17</t>
        </is>
      </c>
      <c r="AQ33" s="6" t="inlineStr">
        <is>
          <t>UK1; UK2; UK3; UK4; UK5; UK6; UK13</t>
        </is>
      </c>
      <c r="AR33" s="6" t="inlineStr">
        <is>
          <t>US5; US6; US8; US9; US12; US14; US15; US16; US17</t>
        </is>
      </c>
      <c r="AS33" s="6" t="inlineStr">
        <is>
          <t>AU1; AU2; AU3; AU3a; AU4; AU7</t>
        </is>
      </c>
      <c r="AT33" s="6" t="inlineStr">
        <is>
          <t>BR1; BR2; BR3</t>
        </is>
      </c>
      <c r="AU33" s="6" t="inlineStr">
        <is>
          <t>CA2; CA3; CA4; CA5; CA6; CA7; CA8</t>
        </is>
      </c>
      <c r="AV33" s="6" t="inlineStr">
        <is>
          <t>CN1; CN2; CN5; CN7; CN9</t>
        </is>
      </c>
      <c r="AW33" s="6" t="inlineStr">
        <is>
          <t>IN1; IN2; IN3; IN4; IN5; IN6; IN7; IN11; IN13</t>
        </is>
      </c>
      <c r="AX33" s="6" t="inlineStr">
        <is>
          <t>JP1; JP2; JP3; JP4; JP6</t>
        </is>
      </c>
      <c r="AY33" s="6" t="inlineStr">
        <is>
          <t>SG1; SG2; SG3; SG4; SG5; MAS 1.6, 2.1 to 2.2; MAS 2.3 to 2.5; MAS 3.1 to 3.4; MAS 3.5; MAS 1.5, 3.6; MAS 4.10 to 4.13; MAS 5.4; MAS 5.9; MAS 5.17; MAS 5.18 to 5.21; MAS 5.24</t>
        </is>
      </c>
      <c r="AZ33" s="6" t="inlineStr">
        <is>
          <t>KR3; KR4; KR5; KR6; KR7</t>
        </is>
      </c>
      <c r="BA33" s="6" t="inlineStr">
        <is>
          <t>HK1; HK2; HK3; HK5; HK6; HK7; Board and senior management accountability: t; Use-case owners and human oversight: a named ; Risk-commensurate management: materiality and; Risk management frameworks: data within appro; Ethical use and fair treatment: no unfair bia</t>
        </is>
      </c>
    </row>
    <row r="34" ht="60" customHeight="1">
      <c r="A34" s="5" t="inlineStr">
        <is>
          <t>AI-R29</t>
        </is>
      </c>
      <c r="B34" s="5" t="inlineStr">
        <is>
          <t>Unrealised AI Value and Misaligned AI Strategy</t>
        </is>
      </c>
      <c r="C34" s="100" t="inlineStr">
        <is>
          <t>-</t>
        </is>
      </c>
      <c r="D34" s="100" t="inlineStr">
        <is>
          <t>-</t>
        </is>
      </c>
      <c r="E34" s="6" t="inlineStr">
        <is>
          <t>02 Competitive position; 02 AI strategy and roadmap; 02 Use-case selection and sourcing; 02 Value measurement / ROI</t>
        </is>
      </c>
      <c r="F34" s="100" t="inlineStr">
        <is>
          <t>-</t>
        </is>
      </c>
      <c r="G34" s="100" t="inlineStr">
        <is>
          <t>-</t>
        </is>
      </c>
      <c r="H34" s="100" t="inlineStr">
        <is>
          <t>-</t>
        </is>
      </c>
      <c r="I34" s="100" t="inlineStr">
        <is>
          <t>-</t>
        </is>
      </c>
      <c r="J34" s="100" t="inlineStr">
        <is>
          <t>-</t>
        </is>
      </c>
      <c r="K34" s="100" t="inlineStr">
        <is>
          <t>-</t>
        </is>
      </c>
      <c r="L34" s="100" t="inlineStr">
        <is>
          <t>-</t>
        </is>
      </c>
      <c r="M34" s="100" t="inlineStr">
        <is>
          <t>-</t>
        </is>
      </c>
      <c r="N34" s="100" t="inlineStr">
        <is>
          <t>-</t>
        </is>
      </c>
      <c r="O34" s="100" t="inlineStr">
        <is>
          <t>-</t>
        </is>
      </c>
      <c r="P34" s="100" t="inlineStr">
        <is>
          <t>-</t>
        </is>
      </c>
      <c r="Q34" s="100" t="inlineStr">
        <is>
          <t>-</t>
        </is>
      </c>
      <c r="R34" s="100" t="inlineStr">
        <is>
          <t>-</t>
        </is>
      </c>
      <c r="S34" s="100" t="inlineStr">
        <is>
          <t>-</t>
        </is>
      </c>
      <c r="T34" s="100" t="inlineStr">
        <is>
          <t>-</t>
        </is>
      </c>
      <c r="U34" s="100" t="inlineStr">
        <is>
          <t>-</t>
        </is>
      </c>
      <c r="V34" s="100" t="inlineStr">
        <is>
          <t>-</t>
        </is>
      </c>
      <c r="W34" s="100" t="inlineStr">
        <is>
          <t>-</t>
        </is>
      </c>
      <c r="X34" s="100" t="inlineStr">
        <is>
          <t>-</t>
        </is>
      </c>
      <c r="Y34" s="100" t="inlineStr">
        <is>
          <t>-</t>
        </is>
      </c>
      <c r="Z34" s="100" t="inlineStr">
        <is>
          <t>-</t>
        </is>
      </c>
      <c r="AA34" s="100" t="inlineStr">
        <is>
          <t>-</t>
        </is>
      </c>
      <c r="AB34" s="100" t="inlineStr">
        <is>
          <t>-</t>
        </is>
      </c>
      <c r="AC34" s="100" t="inlineStr">
        <is>
          <t>-</t>
        </is>
      </c>
      <c r="AD34" s="100" t="inlineStr">
        <is>
          <t>-</t>
        </is>
      </c>
      <c r="AE34" s="100" t="inlineStr">
        <is>
          <t>-</t>
        </is>
      </c>
      <c r="AF34" s="100" t="inlineStr">
        <is>
          <t>-</t>
        </is>
      </c>
      <c r="AG34" s="100" t="inlineStr">
        <is>
          <t>-</t>
        </is>
      </c>
      <c r="AH34" s="100" t="inlineStr">
        <is>
          <t>-</t>
        </is>
      </c>
      <c r="AI34" s="100" t="inlineStr">
        <is>
          <t>-</t>
        </is>
      </c>
      <c r="AJ34" s="100" t="inlineStr">
        <is>
          <t>-</t>
        </is>
      </c>
      <c r="AK34" s="100" t="inlineStr">
        <is>
          <t>-</t>
        </is>
      </c>
      <c r="AL34" s="100" t="inlineStr">
        <is>
          <t>-</t>
        </is>
      </c>
      <c r="AM34" s="100" t="inlineStr">
        <is>
          <t>-</t>
        </is>
      </c>
      <c r="AN34" s="100" t="inlineStr">
        <is>
          <t>-</t>
        </is>
      </c>
      <c r="AO34" s="100" t="inlineStr">
        <is>
          <t>-</t>
        </is>
      </c>
      <c r="AP34" s="100" t="inlineStr">
        <is>
          <t>-</t>
        </is>
      </c>
      <c r="AQ34" s="100" t="inlineStr">
        <is>
          <t>-</t>
        </is>
      </c>
      <c r="AR34" s="100" t="inlineStr">
        <is>
          <t>-</t>
        </is>
      </c>
      <c r="AS34" s="100" t="inlineStr">
        <is>
          <t>-</t>
        </is>
      </c>
      <c r="AT34" s="100" t="inlineStr">
        <is>
          <t>-</t>
        </is>
      </c>
      <c r="AU34" s="100" t="inlineStr">
        <is>
          <t>-</t>
        </is>
      </c>
      <c r="AV34" s="100" t="inlineStr">
        <is>
          <t>-</t>
        </is>
      </c>
      <c r="AW34" s="100" t="inlineStr">
        <is>
          <t>-</t>
        </is>
      </c>
      <c r="AX34" s="100" t="inlineStr">
        <is>
          <t>-</t>
        </is>
      </c>
      <c r="AY34" s="100" t="inlineStr">
        <is>
          <t>-</t>
        </is>
      </c>
      <c r="AZ34" s="100" t="inlineStr">
        <is>
          <t>-</t>
        </is>
      </c>
      <c r="BA34" s="100" t="inlineStr">
        <is>
          <t>-</t>
        </is>
      </c>
    </row>
    <row r="35" ht="60" customHeight="1">
      <c r="A35" s="5" t="inlineStr">
        <is>
          <t>AI-R30</t>
        </is>
      </c>
      <c r="B35" s="5" t="inlineStr">
        <is>
          <t>AI Cost Volatility and Stranded Investment</t>
        </is>
      </c>
      <c r="C35" s="100" t="inlineStr">
        <is>
          <t>-</t>
        </is>
      </c>
      <c r="D35" s="100" t="inlineStr">
        <is>
          <t>-</t>
        </is>
      </c>
      <c r="E35" s="6" t="inlineStr">
        <is>
          <t>02 Value measurement / ROI; 11 Cost and compute economics; 11 Investment / procurement</t>
        </is>
      </c>
      <c r="F35" s="100" t="inlineStr">
        <is>
          <t>-</t>
        </is>
      </c>
      <c r="G35" s="100" t="inlineStr">
        <is>
          <t>-</t>
        </is>
      </c>
      <c r="H35" s="100" t="inlineStr">
        <is>
          <t>-</t>
        </is>
      </c>
      <c r="I35" s="100" t="inlineStr">
        <is>
          <t>-</t>
        </is>
      </c>
      <c r="J35" s="100" t="inlineStr">
        <is>
          <t>-</t>
        </is>
      </c>
      <c r="K35" s="100" t="inlineStr">
        <is>
          <t>-</t>
        </is>
      </c>
      <c r="L35" s="100" t="inlineStr">
        <is>
          <t>-</t>
        </is>
      </c>
      <c r="M35" s="100" t="inlineStr">
        <is>
          <t>-</t>
        </is>
      </c>
      <c r="N35" s="100" t="inlineStr">
        <is>
          <t>-</t>
        </is>
      </c>
      <c r="O35" s="100" t="inlineStr">
        <is>
          <t>-</t>
        </is>
      </c>
      <c r="P35" s="100" t="inlineStr">
        <is>
          <t>-</t>
        </is>
      </c>
      <c r="Q35" s="100" t="inlineStr">
        <is>
          <t>-</t>
        </is>
      </c>
      <c r="R35" s="100" t="inlineStr">
        <is>
          <t>-</t>
        </is>
      </c>
      <c r="S35" s="100" t="inlineStr">
        <is>
          <t>-</t>
        </is>
      </c>
      <c r="T35" s="100" t="inlineStr">
        <is>
          <t>-</t>
        </is>
      </c>
      <c r="U35" s="100" t="inlineStr">
        <is>
          <t>-</t>
        </is>
      </c>
      <c r="V35" s="100" t="inlineStr">
        <is>
          <t>-</t>
        </is>
      </c>
      <c r="W35" s="100" t="inlineStr">
        <is>
          <t>-</t>
        </is>
      </c>
      <c r="X35" s="100" t="inlineStr">
        <is>
          <t>-</t>
        </is>
      </c>
      <c r="Y35" s="100" t="inlineStr">
        <is>
          <t>-</t>
        </is>
      </c>
      <c r="Z35" s="100" t="inlineStr">
        <is>
          <t>-</t>
        </is>
      </c>
      <c r="AA35" s="100" t="inlineStr">
        <is>
          <t>-</t>
        </is>
      </c>
      <c r="AB35" s="100" t="inlineStr">
        <is>
          <t>-</t>
        </is>
      </c>
      <c r="AC35" s="100" t="inlineStr">
        <is>
          <t>-</t>
        </is>
      </c>
      <c r="AD35" s="100" t="inlineStr">
        <is>
          <t>-</t>
        </is>
      </c>
      <c r="AE35" s="100" t="inlineStr">
        <is>
          <t>-</t>
        </is>
      </c>
      <c r="AF35" s="100" t="inlineStr">
        <is>
          <t>-</t>
        </is>
      </c>
      <c r="AG35" s="100" t="inlineStr">
        <is>
          <t>-</t>
        </is>
      </c>
      <c r="AH35" s="100" t="inlineStr">
        <is>
          <t>-</t>
        </is>
      </c>
      <c r="AI35" s="100" t="inlineStr">
        <is>
          <t>-</t>
        </is>
      </c>
      <c r="AJ35" s="100" t="inlineStr">
        <is>
          <t>-</t>
        </is>
      </c>
      <c r="AK35" s="100" t="inlineStr">
        <is>
          <t>-</t>
        </is>
      </c>
      <c r="AL35" s="100" t="inlineStr">
        <is>
          <t>-</t>
        </is>
      </c>
      <c r="AM35" s="100" t="inlineStr">
        <is>
          <t>-</t>
        </is>
      </c>
      <c r="AN35" s="100" t="inlineStr">
        <is>
          <t>-</t>
        </is>
      </c>
      <c r="AO35" s="100" t="inlineStr">
        <is>
          <t>-</t>
        </is>
      </c>
      <c r="AP35" s="100" t="inlineStr">
        <is>
          <t>-</t>
        </is>
      </c>
      <c r="AQ35" s="100" t="inlineStr">
        <is>
          <t>-</t>
        </is>
      </c>
      <c r="AR35" s="100" t="inlineStr">
        <is>
          <t>-</t>
        </is>
      </c>
      <c r="AS35" s="100" t="inlineStr">
        <is>
          <t>-</t>
        </is>
      </c>
      <c r="AT35" s="100" t="inlineStr">
        <is>
          <t>-</t>
        </is>
      </c>
      <c r="AU35" s="100" t="inlineStr">
        <is>
          <t>-</t>
        </is>
      </c>
      <c r="AV35" s="100" t="inlineStr">
        <is>
          <t>-</t>
        </is>
      </c>
      <c r="AW35" s="100" t="inlineStr">
        <is>
          <t>-</t>
        </is>
      </c>
      <c r="AX35" s="100" t="inlineStr">
        <is>
          <t>-</t>
        </is>
      </c>
      <c r="AY35" s="100" t="inlineStr">
        <is>
          <t>-</t>
        </is>
      </c>
      <c r="AZ35" s="100" t="inlineStr">
        <is>
          <t>-</t>
        </is>
      </c>
      <c r="BA35" s="100" t="inlineStr">
        <is>
          <t>-</t>
        </is>
      </c>
    </row>
    <row r="36" ht="60" customHeight="1">
      <c r="A36" s="5" t="inlineStr">
        <is>
          <t>AI-R31</t>
        </is>
      </c>
      <c r="B36" s="5" t="inlineStr">
        <is>
          <t>Model Provider Concentration, Lock-in and Deprecation</t>
        </is>
      </c>
      <c r="C36" s="100" t="inlineStr">
        <is>
          <t>-</t>
        </is>
      </c>
      <c r="D36" s="100" t="inlineStr">
        <is>
          <t>-</t>
        </is>
      </c>
      <c r="E36" s="6" t="inlineStr">
        <is>
          <t>07 Change and lifecycle management; 09 Foundation-model dependence; 09 Lock-in and portability; 11 Scaling and resource constraints</t>
        </is>
      </c>
      <c r="F36" s="100" t="inlineStr">
        <is>
          <t>-</t>
        </is>
      </c>
      <c r="G36" s="100" t="inlineStr">
        <is>
          <t>-</t>
        </is>
      </c>
      <c r="H36" s="100" t="inlineStr">
        <is>
          <t>-</t>
        </is>
      </c>
      <c r="I36" s="100" t="inlineStr">
        <is>
          <t>-</t>
        </is>
      </c>
      <c r="J36" s="100" t="inlineStr">
        <is>
          <t>-</t>
        </is>
      </c>
      <c r="K36" s="100" t="inlineStr">
        <is>
          <t>-</t>
        </is>
      </c>
      <c r="L36" s="100" t="inlineStr">
        <is>
          <t>-</t>
        </is>
      </c>
      <c r="M36" s="100" t="inlineStr">
        <is>
          <t>-</t>
        </is>
      </c>
      <c r="N36" s="100" t="inlineStr">
        <is>
          <t>-</t>
        </is>
      </c>
      <c r="O36" s="100" t="inlineStr">
        <is>
          <t>-</t>
        </is>
      </c>
      <c r="P36" s="100" t="inlineStr">
        <is>
          <t>-</t>
        </is>
      </c>
      <c r="Q36" s="100" t="inlineStr">
        <is>
          <t>-</t>
        </is>
      </c>
      <c r="R36" s="100" t="inlineStr">
        <is>
          <t>-</t>
        </is>
      </c>
      <c r="S36" s="100" t="inlineStr">
        <is>
          <t>-</t>
        </is>
      </c>
      <c r="T36" s="100" t="inlineStr">
        <is>
          <t>-</t>
        </is>
      </c>
      <c r="U36" s="100" t="inlineStr">
        <is>
          <t>-</t>
        </is>
      </c>
      <c r="V36" s="100" t="inlineStr">
        <is>
          <t>-</t>
        </is>
      </c>
      <c r="W36" s="100" t="inlineStr">
        <is>
          <t>-</t>
        </is>
      </c>
      <c r="X36" s="100" t="inlineStr">
        <is>
          <t>-</t>
        </is>
      </c>
      <c r="Y36" s="100" t="inlineStr">
        <is>
          <t>-</t>
        </is>
      </c>
      <c r="Z36" s="100" t="inlineStr">
        <is>
          <t>-</t>
        </is>
      </c>
      <c r="AA36" s="100" t="inlineStr">
        <is>
          <t>-</t>
        </is>
      </c>
      <c r="AB36" s="100" t="inlineStr">
        <is>
          <t>-</t>
        </is>
      </c>
      <c r="AC36" s="100" t="inlineStr">
        <is>
          <t>-</t>
        </is>
      </c>
      <c r="AD36" s="100" t="inlineStr">
        <is>
          <t>-</t>
        </is>
      </c>
      <c r="AE36" s="100" t="inlineStr">
        <is>
          <t>-</t>
        </is>
      </c>
      <c r="AF36" s="100" t="inlineStr">
        <is>
          <t>-</t>
        </is>
      </c>
      <c r="AG36" s="100" t="inlineStr">
        <is>
          <t>-</t>
        </is>
      </c>
      <c r="AH36" s="100" t="inlineStr">
        <is>
          <t>-</t>
        </is>
      </c>
      <c r="AI36" s="100" t="inlineStr">
        <is>
          <t>-</t>
        </is>
      </c>
      <c r="AJ36" s="100" t="inlineStr">
        <is>
          <t>-</t>
        </is>
      </c>
      <c r="AK36" s="100" t="inlineStr">
        <is>
          <t>-</t>
        </is>
      </c>
      <c r="AL36" s="100" t="inlineStr">
        <is>
          <t>-</t>
        </is>
      </c>
      <c r="AM36" s="100" t="inlineStr">
        <is>
          <t>-</t>
        </is>
      </c>
      <c r="AN36" s="100" t="inlineStr">
        <is>
          <t>-</t>
        </is>
      </c>
      <c r="AO36" s="100" t="inlineStr">
        <is>
          <t>-</t>
        </is>
      </c>
      <c r="AP36" s="100" t="inlineStr">
        <is>
          <t>-</t>
        </is>
      </c>
      <c r="AQ36" s="100" t="inlineStr">
        <is>
          <t>-</t>
        </is>
      </c>
      <c r="AR36" s="100" t="inlineStr">
        <is>
          <t>-</t>
        </is>
      </c>
      <c r="AS36" s="100" t="inlineStr">
        <is>
          <t>-</t>
        </is>
      </c>
      <c r="AT36" s="100" t="inlineStr">
        <is>
          <t>-</t>
        </is>
      </c>
      <c r="AU36" s="100" t="inlineStr">
        <is>
          <t>-</t>
        </is>
      </c>
      <c r="AV36" s="100" t="inlineStr">
        <is>
          <t>-</t>
        </is>
      </c>
      <c r="AW36" s="100" t="inlineStr">
        <is>
          <t>-</t>
        </is>
      </c>
      <c r="AX36" s="100" t="inlineStr">
        <is>
          <t>-</t>
        </is>
      </c>
      <c r="AY36" s="100" t="inlineStr">
        <is>
          <t>-</t>
        </is>
      </c>
      <c r="AZ36" s="100" t="inlineStr">
        <is>
          <t>-</t>
        </is>
      </c>
      <c r="BA36" s="100" t="inlineStr">
        <is>
          <t>-</t>
        </is>
      </c>
    </row>
    <row r="37" ht="60" customHeight="1">
      <c r="A37" s="5" t="inlineStr">
        <is>
          <t>AI-R32</t>
        </is>
      </c>
      <c r="B37" s="5" t="inlineStr">
        <is>
          <t>Model Monoculture and Correlated Failure</t>
        </is>
      </c>
      <c r="C37" s="100" t="inlineStr">
        <is>
          <t>-</t>
        </is>
      </c>
      <c r="D37" s="100" t="inlineStr">
        <is>
          <t>-</t>
        </is>
      </c>
      <c r="E37" s="6" t="inlineStr">
        <is>
          <t>06 Bias and fairness; 09 Foundation-model dependence</t>
        </is>
      </c>
      <c r="F37" s="100" t="inlineStr">
        <is>
          <t>-</t>
        </is>
      </c>
      <c r="G37" s="6" t="inlineStr">
        <is>
          <t>Harmful Bias or Homogenization</t>
        </is>
      </c>
      <c r="H37" s="100" t="inlineStr">
        <is>
          <t>-</t>
        </is>
      </c>
      <c r="I37" s="100" t="inlineStr">
        <is>
          <t>-</t>
        </is>
      </c>
      <c r="J37" s="100" t="inlineStr">
        <is>
          <t>-</t>
        </is>
      </c>
      <c r="K37" s="100" t="inlineStr">
        <is>
          <t>-</t>
        </is>
      </c>
      <c r="L37" s="100" t="inlineStr">
        <is>
          <t>-</t>
        </is>
      </c>
      <c r="M37" s="100" t="inlineStr">
        <is>
          <t>-</t>
        </is>
      </c>
      <c r="N37" s="100" t="inlineStr">
        <is>
          <t>-</t>
        </is>
      </c>
      <c r="O37" s="100" t="inlineStr">
        <is>
          <t>-</t>
        </is>
      </c>
      <c r="P37" s="100" t="inlineStr">
        <is>
          <t>-</t>
        </is>
      </c>
      <c r="Q37" s="100" t="inlineStr">
        <is>
          <t>-</t>
        </is>
      </c>
      <c r="R37" s="100" t="inlineStr">
        <is>
          <t>-</t>
        </is>
      </c>
      <c r="S37" s="100" t="inlineStr">
        <is>
          <t>-</t>
        </is>
      </c>
      <c r="T37" s="100" t="inlineStr">
        <is>
          <t>-</t>
        </is>
      </c>
      <c r="U37" s="100" t="inlineStr">
        <is>
          <t>-</t>
        </is>
      </c>
      <c r="V37" s="100" t="inlineStr">
        <is>
          <t>-</t>
        </is>
      </c>
      <c r="W37" s="100" t="inlineStr">
        <is>
          <t>-</t>
        </is>
      </c>
      <c r="X37" s="100" t="inlineStr">
        <is>
          <t>-</t>
        </is>
      </c>
      <c r="Y37" s="100" t="inlineStr">
        <is>
          <t>-</t>
        </is>
      </c>
      <c r="Z37" s="100" t="inlineStr">
        <is>
          <t>-</t>
        </is>
      </c>
      <c r="AA37" s="100" t="inlineStr">
        <is>
          <t>-</t>
        </is>
      </c>
      <c r="AB37" s="100" t="inlineStr">
        <is>
          <t>-</t>
        </is>
      </c>
      <c r="AC37" s="100" t="inlineStr">
        <is>
          <t>-</t>
        </is>
      </c>
      <c r="AD37" s="100" t="inlineStr">
        <is>
          <t>-</t>
        </is>
      </c>
      <c r="AE37" s="100" t="inlineStr">
        <is>
          <t>-</t>
        </is>
      </c>
      <c r="AF37" s="100" t="inlineStr">
        <is>
          <t>-</t>
        </is>
      </c>
      <c r="AG37" s="100" t="inlineStr">
        <is>
          <t>-</t>
        </is>
      </c>
      <c r="AH37" s="100" t="inlineStr">
        <is>
          <t>-</t>
        </is>
      </c>
      <c r="AI37" s="100" t="inlineStr">
        <is>
          <t>-</t>
        </is>
      </c>
      <c r="AJ37" s="100" t="inlineStr">
        <is>
          <t>-</t>
        </is>
      </c>
      <c r="AK37" s="100" t="inlineStr">
        <is>
          <t>-</t>
        </is>
      </c>
      <c r="AL37" s="100" t="inlineStr">
        <is>
          <t>-</t>
        </is>
      </c>
      <c r="AM37" s="100" t="inlineStr">
        <is>
          <t>-</t>
        </is>
      </c>
      <c r="AN37" s="100" t="inlineStr">
        <is>
          <t>-</t>
        </is>
      </c>
      <c r="AO37" s="100" t="inlineStr">
        <is>
          <t>-</t>
        </is>
      </c>
      <c r="AP37" s="100" t="inlineStr">
        <is>
          <t>-</t>
        </is>
      </c>
      <c r="AQ37" s="100" t="inlineStr">
        <is>
          <t>-</t>
        </is>
      </c>
      <c r="AR37" s="100" t="inlineStr">
        <is>
          <t>-</t>
        </is>
      </c>
      <c r="AS37" s="100" t="inlineStr">
        <is>
          <t>-</t>
        </is>
      </c>
      <c r="AT37" s="100" t="inlineStr">
        <is>
          <t>-</t>
        </is>
      </c>
      <c r="AU37" s="100" t="inlineStr">
        <is>
          <t>-</t>
        </is>
      </c>
      <c r="AV37" s="100" t="inlineStr">
        <is>
          <t>-</t>
        </is>
      </c>
      <c r="AW37" s="100" t="inlineStr">
        <is>
          <t>-</t>
        </is>
      </c>
      <c r="AX37" s="100" t="inlineStr">
        <is>
          <t>-</t>
        </is>
      </c>
      <c r="AY37" s="100" t="inlineStr">
        <is>
          <t>-</t>
        </is>
      </c>
      <c r="AZ37" s="100" t="inlineStr">
        <is>
          <t>-</t>
        </is>
      </c>
      <c r="BA37" s="100" t="inlineStr">
        <is>
          <t>-</t>
        </is>
      </c>
    </row>
    <row r="38" ht="60" customHeight="1">
      <c r="A38" s="5" t="inlineStr">
        <is>
          <t>AI-R33</t>
        </is>
      </c>
      <c r="B38" s="5" t="inlineStr">
        <is>
          <t>Workforce Deskilling and Loss of Institutional Knowledge</t>
        </is>
      </c>
      <c r="C38" s="100" t="inlineStr">
        <is>
          <t>-</t>
        </is>
      </c>
      <c r="D38" s="100" t="inlineStr">
        <is>
          <t>-</t>
        </is>
      </c>
      <c r="E38" s="6" t="inlineStr">
        <is>
          <t>10 Skills and talent; 10 Deskilling and loss of institutional knowledge</t>
        </is>
      </c>
      <c r="F38" s="100" t="inlineStr">
        <is>
          <t>-</t>
        </is>
      </c>
      <c r="G38" s="100" t="inlineStr">
        <is>
          <t>-</t>
        </is>
      </c>
      <c r="H38" s="100" t="inlineStr">
        <is>
          <t>-</t>
        </is>
      </c>
      <c r="I38" s="100" t="inlineStr">
        <is>
          <t>-</t>
        </is>
      </c>
      <c r="J38" s="100" t="inlineStr">
        <is>
          <t>-</t>
        </is>
      </c>
      <c r="K38" s="100" t="inlineStr">
        <is>
          <t>-</t>
        </is>
      </c>
      <c r="L38" s="100" t="inlineStr">
        <is>
          <t>-</t>
        </is>
      </c>
      <c r="M38" s="100" t="inlineStr">
        <is>
          <t>-</t>
        </is>
      </c>
      <c r="N38" s="100" t="inlineStr">
        <is>
          <t>-</t>
        </is>
      </c>
      <c r="O38" s="100" t="inlineStr">
        <is>
          <t>-</t>
        </is>
      </c>
      <c r="P38" s="100" t="inlineStr">
        <is>
          <t>-</t>
        </is>
      </c>
      <c r="Q38" s="100" t="inlineStr">
        <is>
          <t>-</t>
        </is>
      </c>
      <c r="R38" s="100" t="inlineStr">
        <is>
          <t>-</t>
        </is>
      </c>
      <c r="S38" s="100" t="inlineStr">
        <is>
          <t>-</t>
        </is>
      </c>
      <c r="T38" s="100" t="inlineStr">
        <is>
          <t>-</t>
        </is>
      </c>
      <c r="U38" s="100" t="inlineStr">
        <is>
          <t>-</t>
        </is>
      </c>
      <c r="V38" s="100" t="inlineStr">
        <is>
          <t>-</t>
        </is>
      </c>
      <c r="W38" s="100" t="inlineStr">
        <is>
          <t>-</t>
        </is>
      </c>
      <c r="X38" s="100" t="inlineStr">
        <is>
          <t>-</t>
        </is>
      </c>
      <c r="Y38" s="100" t="inlineStr">
        <is>
          <t>-</t>
        </is>
      </c>
      <c r="Z38" s="100" t="inlineStr">
        <is>
          <t>-</t>
        </is>
      </c>
      <c r="AA38" s="100" t="inlineStr">
        <is>
          <t>-</t>
        </is>
      </c>
      <c r="AB38" s="100" t="inlineStr">
        <is>
          <t>-</t>
        </is>
      </c>
      <c r="AC38" s="100" t="inlineStr">
        <is>
          <t>-</t>
        </is>
      </c>
      <c r="AD38" s="100" t="inlineStr">
        <is>
          <t>-</t>
        </is>
      </c>
      <c r="AE38" s="100" t="inlineStr">
        <is>
          <t>-</t>
        </is>
      </c>
      <c r="AF38" s="100" t="inlineStr">
        <is>
          <t>-</t>
        </is>
      </c>
      <c r="AG38" s="100" t="inlineStr">
        <is>
          <t>-</t>
        </is>
      </c>
      <c r="AH38" s="100" t="inlineStr">
        <is>
          <t>-</t>
        </is>
      </c>
      <c r="AI38" s="100" t="inlineStr">
        <is>
          <t>-</t>
        </is>
      </c>
      <c r="AJ38" s="100" t="inlineStr">
        <is>
          <t>-</t>
        </is>
      </c>
      <c r="AK38" s="100" t="inlineStr">
        <is>
          <t>-</t>
        </is>
      </c>
      <c r="AL38" s="100" t="inlineStr">
        <is>
          <t>-</t>
        </is>
      </c>
      <c r="AM38" s="100" t="inlineStr">
        <is>
          <t>-</t>
        </is>
      </c>
      <c r="AN38" s="100" t="inlineStr">
        <is>
          <t>-</t>
        </is>
      </c>
      <c r="AO38" s="100" t="inlineStr">
        <is>
          <t>-</t>
        </is>
      </c>
      <c r="AP38" s="100" t="inlineStr">
        <is>
          <t>-</t>
        </is>
      </c>
      <c r="AQ38" s="100" t="inlineStr">
        <is>
          <t>-</t>
        </is>
      </c>
      <c r="AR38" s="100" t="inlineStr">
        <is>
          <t>-</t>
        </is>
      </c>
      <c r="AS38" s="100" t="inlineStr">
        <is>
          <t>-</t>
        </is>
      </c>
      <c r="AT38" s="100" t="inlineStr">
        <is>
          <t>-</t>
        </is>
      </c>
      <c r="AU38" s="100" t="inlineStr">
        <is>
          <t>-</t>
        </is>
      </c>
      <c r="AV38" s="100" t="inlineStr">
        <is>
          <t>-</t>
        </is>
      </c>
      <c r="AW38" s="100" t="inlineStr">
        <is>
          <t>-</t>
        </is>
      </c>
      <c r="AX38" s="100" t="inlineStr">
        <is>
          <t>-</t>
        </is>
      </c>
      <c r="AY38" s="100" t="inlineStr">
        <is>
          <t>-</t>
        </is>
      </c>
      <c r="AZ38" s="100" t="inlineStr">
        <is>
          <t>-</t>
        </is>
      </c>
      <c r="BA38" s="100" t="inlineStr">
        <is>
          <t>-</t>
        </is>
      </c>
    </row>
    <row r="39" ht="60" customHeight="1">
      <c r="A39" s="5" t="inlineStr">
        <is>
          <t>AI-R34</t>
        </is>
      </c>
      <c r="B39" s="5" t="inlineStr">
        <is>
          <t>Workforce Change Failure and Skills Shortage</t>
        </is>
      </c>
      <c r="C39" s="100" t="inlineStr">
        <is>
          <t>-</t>
        </is>
      </c>
      <c r="D39" s="100" t="inlineStr">
        <is>
          <t>-</t>
        </is>
      </c>
      <c r="E39" s="6" t="inlineStr">
        <is>
          <t>10 Skills and talent; 10 Workforce disruption / change</t>
        </is>
      </c>
      <c r="F39" s="100" t="inlineStr">
        <is>
          <t>-</t>
        </is>
      </c>
      <c r="G39" s="100" t="inlineStr">
        <is>
          <t>-</t>
        </is>
      </c>
      <c r="H39" s="100" t="inlineStr">
        <is>
          <t>-</t>
        </is>
      </c>
      <c r="I39" s="100" t="inlineStr">
        <is>
          <t>-</t>
        </is>
      </c>
      <c r="J39" s="100" t="inlineStr">
        <is>
          <t>-</t>
        </is>
      </c>
      <c r="K39" s="100" t="inlineStr">
        <is>
          <t>-</t>
        </is>
      </c>
      <c r="L39" s="100" t="inlineStr">
        <is>
          <t>-</t>
        </is>
      </c>
      <c r="M39" s="100" t="inlineStr">
        <is>
          <t>-</t>
        </is>
      </c>
      <c r="N39" s="100" t="inlineStr">
        <is>
          <t>-</t>
        </is>
      </c>
      <c r="O39" s="100" t="inlineStr">
        <is>
          <t>-</t>
        </is>
      </c>
      <c r="P39" s="100" t="inlineStr">
        <is>
          <t>-</t>
        </is>
      </c>
      <c r="Q39" s="100" t="inlineStr">
        <is>
          <t>-</t>
        </is>
      </c>
      <c r="R39" s="100" t="inlineStr">
        <is>
          <t>-</t>
        </is>
      </c>
      <c r="S39" s="100" t="inlineStr">
        <is>
          <t>-</t>
        </is>
      </c>
      <c r="T39" s="100" t="inlineStr">
        <is>
          <t>-</t>
        </is>
      </c>
      <c r="U39" s="100" t="inlineStr">
        <is>
          <t>-</t>
        </is>
      </c>
      <c r="V39" s="100" t="inlineStr">
        <is>
          <t>-</t>
        </is>
      </c>
      <c r="W39" s="100" t="inlineStr">
        <is>
          <t>-</t>
        </is>
      </c>
      <c r="X39" s="100" t="inlineStr">
        <is>
          <t>-</t>
        </is>
      </c>
      <c r="Y39" s="100" t="inlineStr">
        <is>
          <t>-</t>
        </is>
      </c>
      <c r="Z39" s="100" t="inlineStr">
        <is>
          <t>-</t>
        </is>
      </c>
      <c r="AA39" s="100" t="inlineStr">
        <is>
          <t>-</t>
        </is>
      </c>
      <c r="AB39" s="100" t="inlineStr">
        <is>
          <t>-</t>
        </is>
      </c>
      <c r="AC39" s="100" t="inlineStr">
        <is>
          <t>-</t>
        </is>
      </c>
      <c r="AD39" s="100" t="inlineStr">
        <is>
          <t>-</t>
        </is>
      </c>
      <c r="AE39" s="100" t="inlineStr">
        <is>
          <t>-</t>
        </is>
      </c>
      <c r="AF39" s="100" t="inlineStr">
        <is>
          <t>-</t>
        </is>
      </c>
      <c r="AG39" s="100" t="inlineStr">
        <is>
          <t>-</t>
        </is>
      </c>
      <c r="AH39" s="100" t="inlineStr">
        <is>
          <t>-</t>
        </is>
      </c>
      <c r="AI39" s="100" t="inlineStr">
        <is>
          <t>-</t>
        </is>
      </c>
      <c r="AJ39" s="100" t="inlineStr">
        <is>
          <t>-</t>
        </is>
      </c>
      <c r="AK39" s="100" t="inlineStr">
        <is>
          <t>-</t>
        </is>
      </c>
      <c r="AL39" s="100" t="inlineStr">
        <is>
          <t>-</t>
        </is>
      </c>
      <c r="AM39" s="100" t="inlineStr">
        <is>
          <t>-</t>
        </is>
      </c>
      <c r="AN39" s="100" t="inlineStr">
        <is>
          <t>-</t>
        </is>
      </c>
      <c r="AO39" s="100" t="inlineStr">
        <is>
          <t>-</t>
        </is>
      </c>
      <c r="AP39" s="100" t="inlineStr">
        <is>
          <t>-</t>
        </is>
      </c>
      <c r="AQ39" s="100" t="inlineStr">
        <is>
          <t>-</t>
        </is>
      </c>
      <c r="AR39" s="100" t="inlineStr">
        <is>
          <t>-</t>
        </is>
      </c>
      <c r="AS39" s="100" t="inlineStr">
        <is>
          <t>-</t>
        </is>
      </c>
      <c r="AT39" s="100" t="inlineStr">
        <is>
          <t>-</t>
        </is>
      </c>
      <c r="AU39" s="100" t="inlineStr">
        <is>
          <t>-</t>
        </is>
      </c>
      <c r="AV39" s="100" t="inlineStr">
        <is>
          <t>-</t>
        </is>
      </c>
      <c r="AW39" s="100" t="inlineStr">
        <is>
          <t>-</t>
        </is>
      </c>
      <c r="AX39" s="100" t="inlineStr">
        <is>
          <t>-</t>
        </is>
      </c>
      <c r="AY39" s="100" t="inlineStr">
        <is>
          <t>-</t>
        </is>
      </c>
      <c r="AZ39" s="100" t="inlineStr">
        <is>
          <t>-</t>
        </is>
      </c>
      <c r="BA39" s="100" t="inlineStr">
        <is>
          <t>-</t>
        </is>
      </c>
    </row>
    <row r="40" ht="60" customHeight="1">
      <c r="A40" s="5" t="inlineStr">
        <is>
          <t>AI-R35</t>
        </is>
      </c>
      <c r="B40" s="5" t="inlineStr">
        <is>
          <t>Unmeasured Energy and Water Use of AI</t>
        </is>
      </c>
      <c r="C40" s="100" t="inlineStr">
        <is>
          <t>-</t>
        </is>
      </c>
      <c r="D40" s="100" t="inlineStr">
        <is>
          <t>-</t>
        </is>
      </c>
      <c r="E40" s="6" t="inlineStr">
        <is>
          <t>11 Cost and compute economics</t>
        </is>
      </c>
      <c r="F40" s="100" t="inlineStr">
        <is>
          <t>-</t>
        </is>
      </c>
      <c r="G40" s="6" t="inlineStr">
        <is>
          <t>Environmental Impacts</t>
        </is>
      </c>
      <c r="H40" s="100" t="inlineStr">
        <is>
          <t>-</t>
        </is>
      </c>
      <c r="I40" s="100" t="inlineStr">
        <is>
          <t>-</t>
        </is>
      </c>
      <c r="J40" s="100" t="inlineStr">
        <is>
          <t>-</t>
        </is>
      </c>
      <c r="K40" s="100" t="inlineStr">
        <is>
          <t>-</t>
        </is>
      </c>
      <c r="L40" s="100" t="inlineStr">
        <is>
          <t>-</t>
        </is>
      </c>
      <c r="M40" s="100" t="inlineStr">
        <is>
          <t>-</t>
        </is>
      </c>
      <c r="N40" s="100" t="inlineStr">
        <is>
          <t>-</t>
        </is>
      </c>
      <c r="O40" s="100" t="inlineStr">
        <is>
          <t>-</t>
        </is>
      </c>
      <c r="P40" s="100" t="inlineStr">
        <is>
          <t>-</t>
        </is>
      </c>
      <c r="Q40" s="100" t="inlineStr">
        <is>
          <t>-</t>
        </is>
      </c>
      <c r="R40" s="100" t="inlineStr">
        <is>
          <t>-</t>
        </is>
      </c>
      <c r="S40" s="100" t="inlineStr">
        <is>
          <t>-</t>
        </is>
      </c>
      <c r="T40" s="100" t="inlineStr">
        <is>
          <t>-</t>
        </is>
      </c>
      <c r="U40" s="100" t="inlineStr">
        <is>
          <t>-</t>
        </is>
      </c>
      <c r="V40" s="100" t="inlineStr">
        <is>
          <t>-</t>
        </is>
      </c>
      <c r="W40" s="100" t="inlineStr">
        <is>
          <t>-</t>
        </is>
      </c>
      <c r="X40" s="100" t="inlineStr">
        <is>
          <t>-</t>
        </is>
      </c>
      <c r="Y40" s="100" t="inlineStr">
        <is>
          <t>-</t>
        </is>
      </c>
      <c r="Z40" s="100" t="inlineStr">
        <is>
          <t>-</t>
        </is>
      </c>
      <c r="AA40" s="100" t="inlineStr">
        <is>
          <t>-</t>
        </is>
      </c>
      <c r="AB40" s="100" t="inlineStr">
        <is>
          <t>-</t>
        </is>
      </c>
      <c r="AC40" s="100" t="inlineStr">
        <is>
          <t>-</t>
        </is>
      </c>
      <c r="AD40" s="100" t="inlineStr">
        <is>
          <t>-</t>
        </is>
      </c>
      <c r="AE40" s="100" t="inlineStr">
        <is>
          <t>-</t>
        </is>
      </c>
      <c r="AF40" s="100" t="inlineStr">
        <is>
          <t>-</t>
        </is>
      </c>
      <c r="AG40" s="100" t="inlineStr">
        <is>
          <t>-</t>
        </is>
      </c>
      <c r="AH40" s="100" t="inlineStr">
        <is>
          <t>-</t>
        </is>
      </c>
      <c r="AI40" s="100" t="inlineStr">
        <is>
          <t>-</t>
        </is>
      </c>
      <c r="AJ40" s="100" t="inlineStr">
        <is>
          <t>-</t>
        </is>
      </c>
      <c r="AK40" s="100" t="inlineStr">
        <is>
          <t>-</t>
        </is>
      </c>
      <c r="AL40" s="100" t="inlineStr">
        <is>
          <t>-</t>
        </is>
      </c>
      <c r="AM40" s="100" t="inlineStr">
        <is>
          <t>-</t>
        </is>
      </c>
      <c r="AN40" s="100" t="inlineStr">
        <is>
          <t>-</t>
        </is>
      </c>
      <c r="AO40" s="100" t="inlineStr">
        <is>
          <t>-</t>
        </is>
      </c>
      <c r="AP40" s="100" t="inlineStr">
        <is>
          <t>-</t>
        </is>
      </c>
      <c r="AQ40" s="100" t="inlineStr">
        <is>
          <t>-</t>
        </is>
      </c>
      <c r="AR40" s="100" t="inlineStr">
        <is>
          <t>-</t>
        </is>
      </c>
      <c r="AS40" s="100" t="inlineStr">
        <is>
          <t>-</t>
        </is>
      </c>
      <c r="AT40" s="100" t="inlineStr">
        <is>
          <t>-</t>
        </is>
      </c>
      <c r="AU40" s="100" t="inlineStr">
        <is>
          <t>-</t>
        </is>
      </c>
      <c r="AV40" s="100" t="inlineStr">
        <is>
          <t>-</t>
        </is>
      </c>
      <c r="AW40" s="100" t="inlineStr">
        <is>
          <t>-</t>
        </is>
      </c>
      <c r="AX40" s="100" t="inlineStr">
        <is>
          <t>-</t>
        </is>
      </c>
      <c r="AY40" s="100" t="inlineStr">
        <is>
          <t>-</t>
        </is>
      </c>
      <c r="AZ40" s="100" t="inlineStr">
        <is>
          <t>-</t>
        </is>
      </c>
      <c r="BA40" s="100" t="inlineStr">
        <is>
          <t>-</t>
        </is>
      </c>
    </row>
    <row r="41" ht="60" customHeight="1">
      <c r="A41" s="5" t="inlineStr">
        <is>
          <t>AI-R36</t>
        </is>
      </c>
      <c r="B41" s="5" t="inlineStr">
        <is>
          <t>AI Output Ownership and Model Licence Breach</t>
        </is>
      </c>
      <c r="C41" s="100" t="inlineStr">
        <is>
          <t>-</t>
        </is>
      </c>
      <c r="D41" s="100" t="inlineStr">
        <is>
          <t>-</t>
        </is>
      </c>
      <c r="E41" s="6" t="inlineStr">
        <is>
          <t>03 Training-data rights and IP; 08 IP and liability; 08 Contractual and licensing</t>
        </is>
      </c>
      <c r="F41" s="100" t="inlineStr">
        <is>
          <t>-</t>
        </is>
      </c>
      <c r="G41" s="100" t="inlineStr">
        <is>
          <t>-</t>
        </is>
      </c>
      <c r="H41" s="100" t="inlineStr">
        <is>
          <t>-</t>
        </is>
      </c>
      <c r="I41" s="100" t="inlineStr">
        <is>
          <t>-</t>
        </is>
      </c>
      <c r="J41" s="100" t="inlineStr">
        <is>
          <t>-</t>
        </is>
      </c>
      <c r="K41" s="100" t="inlineStr">
        <is>
          <t>-</t>
        </is>
      </c>
      <c r="L41" s="100" t="inlineStr">
        <is>
          <t>-</t>
        </is>
      </c>
      <c r="M41" s="100" t="inlineStr">
        <is>
          <t>-</t>
        </is>
      </c>
      <c r="N41" s="100" t="inlineStr">
        <is>
          <t>-</t>
        </is>
      </c>
      <c r="O41" s="100" t="inlineStr">
        <is>
          <t>-</t>
        </is>
      </c>
      <c r="P41" s="100" t="inlineStr">
        <is>
          <t>-</t>
        </is>
      </c>
      <c r="Q41" s="100" t="inlineStr">
        <is>
          <t>-</t>
        </is>
      </c>
      <c r="R41" s="100" t="inlineStr">
        <is>
          <t>-</t>
        </is>
      </c>
      <c r="S41" s="100" t="inlineStr">
        <is>
          <t>-</t>
        </is>
      </c>
      <c r="T41" s="100" t="inlineStr">
        <is>
          <t>-</t>
        </is>
      </c>
      <c r="U41" s="100" t="inlineStr">
        <is>
          <t>-</t>
        </is>
      </c>
      <c r="V41" s="100" t="inlineStr">
        <is>
          <t>-</t>
        </is>
      </c>
      <c r="W41" s="100" t="inlineStr">
        <is>
          <t>-</t>
        </is>
      </c>
      <c r="X41" s="100" t="inlineStr">
        <is>
          <t>-</t>
        </is>
      </c>
      <c r="Y41" s="100" t="inlineStr">
        <is>
          <t>-</t>
        </is>
      </c>
      <c r="Z41" s="100" t="inlineStr">
        <is>
          <t>-</t>
        </is>
      </c>
      <c r="AA41" s="100" t="inlineStr">
        <is>
          <t>-</t>
        </is>
      </c>
      <c r="AB41" s="100" t="inlineStr">
        <is>
          <t>-</t>
        </is>
      </c>
      <c r="AC41" s="100" t="inlineStr">
        <is>
          <t>-</t>
        </is>
      </c>
      <c r="AD41" s="100" t="inlineStr">
        <is>
          <t>-</t>
        </is>
      </c>
      <c r="AE41" s="100" t="inlineStr">
        <is>
          <t>-</t>
        </is>
      </c>
      <c r="AF41" s="100" t="inlineStr">
        <is>
          <t>-</t>
        </is>
      </c>
      <c r="AG41" s="100" t="inlineStr">
        <is>
          <t>-</t>
        </is>
      </c>
      <c r="AH41" s="100" t="inlineStr">
        <is>
          <t>-</t>
        </is>
      </c>
      <c r="AI41" s="100" t="inlineStr">
        <is>
          <t>-</t>
        </is>
      </c>
      <c r="AJ41" s="100" t="inlineStr">
        <is>
          <t>-</t>
        </is>
      </c>
      <c r="AK41" s="100" t="inlineStr">
        <is>
          <t>-</t>
        </is>
      </c>
      <c r="AL41" s="100" t="inlineStr">
        <is>
          <t>-</t>
        </is>
      </c>
      <c r="AM41" s="100" t="inlineStr">
        <is>
          <t>-</t>
        </is>
      </c>
      <c r="AN41" s="100" t="inlineStr">
        <is>
          <t>-</t>
        </is>
      </c>
      <c r="AO41" s="100" t="inlineStr">
        <is>
          <t>-</t>
        </is>
      </c>
      <c r="AP41" s="100" t="inlineStr">
        <is>
          <t>-</t>
        </is>
      </c>
      <c r="AQ41" s="100" t="inlineStr">
        <is>
          <t>-</t>
        </is>
      </c>
      <c r="AR41" s="100" t="inlineStr">
        <is>
          <t>-</t>
        </is>
      </c>
      <c r="AS41" s="100" t="inlineStr">
        <is>
          <t>-</t>
        </is>
      </c>
      <c r="AT41" s="100" t="inlineStr">
        <is>
          <t>-</t>
        </is>
      </c>
      <c r="AU41" s="100" t="inlineStr">
        <is>
          <t>-</t>
        </is>
      </c>
      <c r="AV41" s="100" t="inlineStr">
        <is>
          <t>-</t>
        </is>
      </c>
      <c r="AW41" s="100" t="inlineStr">
        <is>
          <t>-</t>
        </is>
      </c>
      <c r="AX41" s="100" t="inlineStr">
        <is>
          <t>-</t>
        </is>
      </c>
      <c r="AY41" s="100" t="inlineStr">
        <is>
          <t>-</t>
        </is>
      </c>
      <c r="AZ41" s="100" t="inlineStr">
        <is>
          <t>-</t>
        </is>
      </c>
      <c r="BA41" s="100" t="inlineStr">
        <is>
          <t>-</t>
        </is>
      </c>
    </row>
    <row r="42" ht="60" customHeight="1">
      <c r="A42" s="5" t="inlineStr">
        <is>
          <t>AI-R37</t>
        </is>
      </c>
      <c r="B42" s="5" t="inlineStr">
        <is>
          <t>Provider Obligations Triggered by Modifying a Model</t>
        </is>
      </c>
      <c r="C42" s="100" t="inlineStr">
        <is>
          <t>-</t>
        </is>
      </c>
      <c r="D42" s="100" t="inlineStr">
        <is>
          <t>-</t>
        </is>
      </c>
      <c r="E42" s="6" t="inlineStr">
        <is>
          <t>08 Regulatory compliance</t>
        </is>
      </c>
      <c r="F42" s="100" t="inlineStr">
        <is>
          <t>-</t>
        </is>
      </c>
      <c r="G42" s="100" t="inlineStr">
        <is>
          <t>-</t>
        </is>
      </c>
      <c r="H42" s="100" t="inlineStr">
        <is>
          <t>-</t>
        </is>
      </c>
      <c r="I42" s="100" t="inlineStr">
        <is>
          <t>-</t>
        </is>
      </c>
      <c r="J42" s="100" t="inlineStr">
        <is>
          <t>-</t>
        </is>
      </c>
      <c r="K42" s="100" t="inlineStr">
        <is>
          <t>-</t>
        </is>
      </c>
      <c r="L42" s="100" t="inlineStr">
        <is>
          <t>-</t>
        </is>
      </c>
      <c r="M42" s="100" t="inlineStr">
        <is>
          <t>-</t>
        </is>
      </c>
      <c r="N42" s="100" t="inlineStr">
        <is>
          <t>-</t>
        </is>
      </c>
      <c r="O42" s="100" t="inlineStr">
        <is>
          <t>-</t>
        </is>
      </c>
      <c r="P42" s="100" t="inlineStr">
        <is>
          <t>-</t>
        </is>
      </c>
      <c r="Q42" s="100" t="inlineStr">
        <is>
          <t>-</t>
        </is>
      </c>
      <c r="R42" s="100" t="inlineStr">
        <is>
          <t>-</t>
        </is>
      </c>
      <c r="S42" s="100" t="inlineStr">
        <is>
          <t>-</t>
        </is>
      </c>
      <c r="T42" s="100" t="inlineStr">
        <is>
          <t>-</t>
        </is>
      </c>
      <c r="U42" s="100" t="inlineStr">
        <is>
          <t>-</t>
        </is>
      </c>
      <c r="V42" s="100" t="inlineStr">
        <is>
          <t>-</t>
        </is>
      </c>
      <c r="W42" s="100" t="inlineStr">
        <is>
          <t>-</t>
        </is>
      </c>
      <c r="X42" s="100" t="inlineStr">
        <is>
          <t>-</t>
        </is>
      </c>
      <c r="Y42" s="100" t="inlineStr">
        <is>
          <t>-</t>
        </is>
      </c>
      <c r="Z42" s="100" t="inlineStr">
        <is>
          <t>-</t>
        </is>
      </c>
      <c r="AA42" s="100" t="inlineStr">
        <is>
          <t>-</t>
        </is>
      </c>
      <c r="AB42" s="100" t="inlineStr">
        <is>
          <t>-</t>
        </is>
      </c>
      <c r="AC42" s="100" t="inlineStr">
        <is>
          <t>-</t>
        </is>
      </c>
      <c r="AD42" s="100" t="inlineStr">
        <is>
          <t>-</t>
        </is>
      </c>
      <c r="AE42" s="100" t="inlineStr">
        <is>
          <t>-</t>
        </is>
      </c>
      <c r="AF42" s="100" t="inlineStr">
        <is>
          <t>-</t>
        </is>
      </c>
      <c r="AG42" s="100" t="inlineStr">
        <is>
          <t>-</t>
        </is>
      </c>
      <c r="AH42" s="100" t="inlineStr">
        <is>
          <t>-</t>
        </is>
      </c>
      <c r="AI42" s="100" t="inlineStr">
        <is>
          <t>-</t>
        </is>
      </c>
      <c r="AJ42" s="100" t="inlineStr">
        <is>
          <t>-</t>
        </is>
      </c>
      <c r="AK42" s="100" t="inlineStr">
        <is>
          <t>-</t>
        </is>
      </c>
      <c r="AL42" s="100" t="inlineStr">
        <is>
          <t>-</t>
        </is>
      </c>
      <c r="AM42" s="100" t="inlineStr">
        <is>
          <t>-</t>
        </is>
      </c>
      <c r="AN42" s="100" t="inlineStr">
        <is>
          <t>-</t>
        </is>
      </c>
      <c r="AO42" s="100" t="inlineStr">
        <is>
          <t>-</t>
        </is>
      </c>
      <c r="AP42" s="100" t="inlineStr">
        <is>
          <t>-</t>
        </is>
      </c>
      <c r="AQ42" s="100" t="inlineStr">
        <is>
          <t>-</t>
        </is>
      </c>
      <c r="AR42" s="100" t="inlineStr">
        <is>
          <t>-</t>
        </is>
      </c>
      <c r="AS42" s="100" t="inlineStr">
        <is>
          <t>-</t>
        </is>
      </c>
      <c r="AT42" s="100" t="inlineStr">
        <is>
          <t>-</t>
        </is>
      </c>
      <c r="AU42" s="100" t="inlineStr">
        <is>
          <t>-</t>
        </is>
      </c>
      <c r="AV42" s="100" t="inlineStr">
        <is>
          <t>-</t>
        </is>
      </c>
      <c r="AW42" s="100" t="inlineStr">
        <is>
          <t>-</t>
        </is>
      </c>
      <c r="AX42" s="100" t="inlineStr">
        <is>
          <t>-</t>
        </is>
      </c>
      <c r="AY42" s="100" t="inlineStr">
        <is>
          <t>-</t>
        </is>
      </c>
      <c r="AZ42" s="100" t="inlineStr">
        <is>
          <t>-</t>
        </is>
      </c>
      <c r="BA42" s="100" t="inlineStr">
        <is>
          <t>-</t>
        </is>
      </c>
    </row>
    <row r="43" ht="60" customHeight="1">
      <c r="A43" s="5" t="inlineStr">
        <is>
          <t>AI-R38</t>
        </is>
      </c>
      <c r="B43" s="5" t="inlineStr">
        <is>
          <t>AI Records Not Preserved for Legal Hold and Discovery</t>
        </is>
      </c>
      <c r="C43" s="100" t="inlineStr">
        <is>
          <t>-</t>
        </is>
      </c>
      <c r="D43" s="100" t="inlineStr">
        <is>
          <t>-</t>
        </is>
      </c>
      <c r="E43" s="6" t="inlineStr">
        <is>
          <t>03 Retention and disposal</t>
        </is>
      </c>
      <c r="F43" s="100" t="inlineStr">
        <is>
          <t>-</t>
        </is>
      </c>
      <c r="G43" s="100" t="inlineStr">
        <is>
          <t>-</t>
        </is>
      </c>
      <c r="H43" s="100" t="inlineStr">
        <is>
          <t>-</t>
        </is>
      </c>
      <c r="I43" s="100" t="inlineStr">
        <is>
          <t>-</t>
        </is>
      </c>
      <c r="J43" s="100" t="inlineStr">
        <is>
          <t>-</t>
        </is>
      </c>
      <c r="K43" s="100" t="inlineStr">
        <is>
          <t>-</t>
        </is>
      </c>
      <c r="L43" s="100" t="inlineStr">
        <is>
          <t>-</t>
        </is>
      </c>
      <c r="M43" s="100" t="inlineStr">
        <is>
          <t>-</t>
        </is>
      </c>
      <c r="N43" s="100" t="inlineStr">
        <is>
          <t>-</t>
        </is>
      </c>
      <c r="O43" s="100" t="inlineStr">
        <is>
          <t>-</t>
        </is>
      </c>
      <c r="P43" s="100" t="inlineStr">
        <is>
          <t>-</t>
        </is>
      </c>
      <c r="Q43" s="100" t="inlineStr">
        <is>
          <t>-</t>
        </is>
      </c>
      <c r="R43" s="100" t="inlineStr">
        <is>
          <t>-</t>
        </is>
      </c>
      <c r="S43" s="100" t="inlineStr">
        <is>
          <t>-</t>
        </is>
      </c>
      <c r="T43" s="100" t="inlineStr">
        <is>
          <t>-</t>
        </is>
      </c>
      <c r="U43" s="100" t="inlineStr">
        <is>
          <t>-</t>
        </is>
      </c>
      <c r="V43" s="100" t="inlineStr">
        <is>
          <t>-</t>
        </is>
      </c>
      <c r="W43" s="100" t="inlineStr">
        <is>
          <t>-</t>
        </is>
      </c>
      <c r="X43" s="100" t="inlineStr">
        <is>
          <t>-</t>
        </is>
      </c>
      <c r="Y43" s="100" t="inlineStr">
        <is>
          <t>-</t>
        </is>
      </c>
      <c r="Z43" s="100" t="inlineStr">
        <is>
          <t>-</t>
        </is>
      </c>
      <c r="AA43" s="100" t="inlineStr">
        <is>
          <t>-</t>
        </is>
      </c>
      <c r="AB43" s="100" t="inlineStr">
        <is>
          <t>-</t>
        </is>
      </c>
      <c r="AC43" s="100" t="inlineStr">
        <is>
          <t>-</t>
        </is>
      </c>
      <c r="AD43" s="100" t="inlineStr">
        <is>
          <t>-</t>
        </is>
      </c>
      <c r="AE43" s="100" t="inlineStr">
        <is>
          <t>-</t>
        </is>
      </c>
      <c r="AF43" s="100" t="inlineStr">
        <is>
          <t>-</t>
        </is>
      </c>
      <c r="AG43" s="100" t="inlineStr">
        <is>
          <t>-</t>
        </is>
      </c>
      <c r="AH43" s="100" t="inlineStr">
        <is>
          <t>-</t>
        </is>
      </c>
      <c r="AI43" s="100" t="inlineStr">
        <is>
          <t>-</t>
        </is>
      </c>
      <c r="AJ43" s="100" t="inlineStr">
        <is>
          <t>-</t>
        </is>
      </c>
      <c r="AK43" s="100" t="inlineStr">
        <is>
          <t>-</t>
        </is>
      </c>
      <c r="AL43" s="100" t="inlineStr">
        <is>
          <t>-</t>
        </is>
      </c>
      <c r="AM43" s="100" t="inlineStr">
        <is>
          <t>-</t>
        </is>
      </c>
      <c r="AN43" s="100" t="inlineStr">
        <is>
          <t>-</t>
        </is>
      </c>
      <c r="AO43" s="100" t="inlineStr">
        <is>
          <t>-</t>
        </is>
      </c>
      <c r="AP43" s="100" t="inlineStr">
        <is>
          <t>-</t>
        </is>
      </c>
      <c r="AQ43" s="100" t="inlineStr">
        <is>
          <t>-</t>
        </is>
      </c>
      <c r="AR43" s="100" t="inlineStr">
        <is>
          <t>-</t>
        </is>
      </c>
      <c r="AS43" s="100" t="inlineStr">
        <is>
          <t>-</t>
        </is>
      </c>
      <c r="AT43" s="100" t="inlineStr">
        <is>
          <t>-</t>
        </is>
      </c>
      <c r="AU43" s="100" t="inlineStr">
        <is>
          <t>-</t>
        </is>
      </c>
      <c r="AV43" s="100" t="inlineStr">
        <is>
          <t>-</t>
        </is>
      </c>
      <c r="AW43" s="100" t="inlineStr">
        <is>
          <t>-</t>
        </is>
      </c>
      <c r="AX43" s="100" t="inlineStr">
        <is>
          <t>-</t>
        </is>
      </c>
      <c r="AY43" s="100" t="inlineStr">
        <is>
          <t>-</t>
        </is>
      </c>
      <c r="AZ43" s="100" t="inlineStr">
        <is>
          <t>-</t>
        </is>
      </c>
      <c r="BA43" s="100" t="inlineStr">
        <is>
          <t>-</t>
        </is>
      </c>
    </row>
    <row r="44" ht="60" customHeight="1">
      <c r="A44" s="5" t="inlineStr">
        <is>
          <t>AI-R39</t>
        </is>
      </c>
      <c r="B44" s="5" t="inlineStr">
        <is>
          <t>Missing Independent Model Validation</t>
        </is>
      </c>
      <c r="C44" s="100" t="inlineStr">
        <is>
          <t>-</t>
        </is>
      </c>
      <c r="D44" s="100" t="inlineStr">
        <is>
          <t>-</t>
        </is>
      </c>
      <c r="E44" s="6" t="inlineStr">
        <is>
          <t>04 Accuracy and validation</t>
        </is>
      </c>
      <c r="F44" s="100" t="inlineStr">
        <is>
          <t>-</t>
        </is>
      </c>
      <c r="G44" s="100" t="inlineStr">
        <is>
          <t>-</t>
        </is>
      </c>
      <c r="H44" s="100" t="inlineStr">
        <is>
          <t>-</t>
        </is>
      </c>
      <c r="I44" s="100" t="inlineStr">
        <is>
          <t>-</t>
        </is>
      </c>
      <c r="J44" s="100" t="inlineStr">
        <is>
          <t>-</t>
        </is>
      </c>
      <c r="K44" s="100" t="inlineStr">
        <is>
          <t>-</t>
        </is>
      </c>
      <c r="L44" s="100" t="inlineStr">
        <is>
          <t>-</t>
        </is>
      </c>
      <c r="M44" s="100" t="inlineStr">
        <is>
          <t>-</t>
        </is>
      </c>
      <c r="N44" s="100" t="inlineStr">
        <is>
          <t>-</t>
        </is>
      </c>
      <c r="O44" s="100" t="inlineStr">
        <is>
          <t>-</t>
        </is>
      </c>
      <c r="P44" s="100" t="inlineStr">
        <is>
          <t>-</t>
        </is>
      </c>
      <c r="Q44" s="100" t="inlineStr">
        <is>
          <t>-</t>
        </is>
      </c>
      <c r="R44" s="100" t="inlineStr">
        <is>
          <t>-</t>
        </is>
      </c>
      <c r="S44" s="100" t="inlineStr">
        <is>
          <t>-</t>
        </is>
      </c>
      <c r="T44" s="100" t="inlineStr">
        <is>
          <t>-</t>
        </is>
      </c>
      <c r="U44" s="100" t="inlineStr">
        <is>
          <t>-</t>
        </is>
      </c>
      <c r="V44" s="100" t="inlineStr">
        <is>
          <t>-</t>
        </is>
      </c>
      <c r="W44" s="100" t="inlineStr">
        <is>
          <t>-</t>
        </is>
      </c>
      <c r="X44" s="100" t="inlineStr">
        <is>
          <t>-</t>
        </is>
      </c>
      <c r="Y44" s="100" t="inlineStr">
        <is>
          <t>-</t>
        </is>
      </c>
      <c r="Z44" s="100" t="inlineStr">
        <is>
          <t>-</t>
        </is>
      </c>
      <c r="AA44" s="100" t="inlineStr">
        <is>
          <t>-</t>
        </is>
      </c>
      <c r="AB44" s="100" t="inlineStr">
        <is>
          <t>-</t>
        </is>
      </c>
      <c r="AC44" s="100" t="inlineStr">
        <is>
          <t>-</t>
        </is>
      </c>
      <c r="AD44" s="100" t="inlineStr">
        <is>
          <t>-</t>
        </is>
      </c>
      <c r="AE44" s="100" t="inlineStr">
        <is>
          <t>-</t>
        </is>
      </c>
      <c r="AF44" s="100" t="inlineStr">
        <is>
          <t>-</t>
        </is>
      </c>
      <c r="AG44" s="100" t="inlineStr">
        <is>
          <t>-</t>
        </is>
      </c>
      <c r="AH44" s="100" t="inlineStr">
        <is>
          <t>-</t>
        </is>
      </c>
      <c r="AI44" s="100" t="inlineStr">
        <is>
          <t>-</t>
        </is>
      </c>
      <c r="AJ44" s="100" t="inlineStr">
        <is>
          <t>-</t>
        </is>
      </c>
      <c r="AK44" s="100" t="inlineStr">
        <is>
          <t>-</t>
        </is>
      </c>
      <c r="AL44" s="100" t="inlineStr">
        <is>
          <t>-</t>
        </is>
      </c>
      <c r="AM44" s="100" t="inlineStr">
        <is>
          <t>-</t>
        </is>
      </c>
      <c r="AN44" s="100" t="inlineStr">
        <is>
          <t>-</t>
        </is>
      </c>
      <c r="AO44" s="100" t="inlineStr">
        <is>
          <t>-</t>
        </is>
      </c>
      <c r="AP44" s="100" t="inlineStr">
        <is>
          <t>-</t>
        </is>
      </c>
      <c r="AQ44" s="100" t="inlineStr">
        <is>
          <t>-</t>
        </is>
      </c>
      <c r="AR44" s="100" t="inlineStr">
        <is>
          <t>-</t>
        </is>
      </c>
      <c r="AS44" s="100" t="inlineStr">
        <is>
          <t>-</t>
        </is>
      </c>
      <c r="AT44" s="100" t="inlineStr">
        <is>
          <t>-</t>
        </is>
      </c>
      <c r="AU44" s="100" t="inlineStr">
        <is>
          <t>-</t>
        </is>
      </c>
      <c r="AV44" s="100" t="inlineStr">
        <is>
          <t>-</t>
        </is>
      </c>
      <c r="AW44" s="100" t="inlineStr">
        <is>
          <t>-</t>
        </is>
      </c>
      <c r="AX44" s="100" t="inlineStr">
        <is>
          <t>-</t>
        </is>
      </c>
      <c r="AY44" s="100" t="inlineStr">
        <is>
          <t>-</t>
        </is>
      </c>
      <c r="AZ44" s="100" t="inlineStr">
        <is>
          <t>-</t>
        </is>
      </c>
      <c r="BA44" s="100" t="inlineStr">
        <is>
          <t>-</t>
        </is>
      </c>
    </row>
    <row r="45" ht="60" customHeight="1">
      <c r="A45" s="5" t="inlineStr">
        <is>
          <t>AI-R40</t>
        </is>
      </c>
      <c r="B45" s="5" t="inlineStr">
        <is>
          <t>AI Output Relied On in Financial Reporting Controls</t>
        </is>
      </c>
      <c r="C45" s="100" t="inlineStr">
        <is>
          <t>-</t>
        </is>
      </c>
      <c r="D45" s="100" t="inlineStr">
        <is>
          <t>-</t>
        </is>
      </c>
      <c r="E45" s="6" t="inlineStr">
        <is>
          <t>01 Audit and assurance</t>
        </is>
      </c>
      <c r="F45" s="100" t="inlineStr">
        <is>
          <t>-</t>
        </is>
      </c>
      <c r="G45" s="100" t="inlineStr">
        <is>
          <t>-</t>
        </is>
      </c>
      <c r="H45" s="100" t="inlineStr">
        <is>
          <t>-</t>
        </is>
      </c>
      <c r="I45" s="100" t="inlineStr">
        <is>
          <t>-</t>
        </is>
      </c>
      <c r="J45" s="100" t="inlineStr">
        <is>
          <t>-</t>
        </is>
      </c>
      <c r="K45" s="100" t="inlineStr">
        <is>
          <t>-</t>
        </is>
      </c>
      <c r="L45" s="100" t="inlineStr">
        <is>
          <t>-</t>
        </is>
      </c>
      <c r="M45" s="100" t="inlineStr">
        <is>
          <t>-</t>
        </is>
      </c>
      <c r="N45" s="100" t="inlineStr">
        <is>
          <t>-</t>
        </is>
      </c>
      <c r="O45" s="100" t="inlineStr">
        <is>
          <t>-</t>
        </is>
      </c>
      <c r="P45" s="100" t="inlineStr">
        <is>
          <t>-</t>
        </is>
      </c>
      <c r="Q45" s="100" t="inlineStr">
        <is>
          <t>-</t>
        </is>
      </c>
      <c r="R45" s="100" t="inlineStr">
        <is>
          <t>-</t>
        </is>
      </c>
      <c r="S45" s="100" t="inlineStr">
        <is>
          <t>-</t>
        </is>
      </c>
      <c r="T45" s="100" t="inlineStr">
        <is>
          <t>-</t>
        </is>
      </c>
      <c r="U45" s="100" t="inlineStr">
        <is>
          <t>-</t>
        </is>
      </c>
      <c r="V45" s="100" t="inlineStr">
        <is>
          <t>-</t>
        </is>
      </c>
      <c r="W45" s="100" t="inlineStr">
        <is>
          <t>-</t>
        </is>
      </c>
      <c r="X45" s="100" t="inlineStr">
        <is>
          <t>-</t>
        </is>
      </c>
      <c r="Y45" s="100" t="inlineStr">
        <is>
          <t>-</t>
        </is>
      </c>
      <c r="Z45" s="100" t="inlineStr">
        <is>
          <t>-</t>
        </is>
      </c>
      <c r="AA45" s="100" t="inlineStr">
        <is>
          <t>-</t>
        </is>
      </c>
      <c r="AB45" s="100" t="inlineStr">
        <is>
          <t>-</t>
        </is>
      </c>
      <c r="AC45" s="100" t="inlineStr">
        <is>
          <t>-</t>
        </is>
      </c>
      <c r="AD45" s="100" t="inlineStr">
        <is>
          <t>-</t>
        </is>
      </c>
      <c r="AE45" s="100" t="inlineStr">
        <is>
          <t>-</t>
        </is>
      </c>
      <c r="AF45" s="100" t="inlineStr">
        <is>
          <t>-</t>
        </is>
      </c>
      <c r="AG45" s="100" t="inlineStr">
        <is>
          <t>-</t>
        </is>
      </c>
      <c r="AH45" s="100" t="inlineStr">
        <is>
          <t>-</t>
        </is>
      </c>
      <c r="AI45" s="100" t="inlineStr">
        <is>
          <t>-</t>
        </is>
      </c>
      <c r="AJ45" s="100" t="inlineStr">
        <is>
          <t>-</t>
        </is>
      </c>
      <c r="AK45" s="100" t="inlineStr">
        <is>
          <t>-</t>
        </is>
      </c>
      <c r="AL45" s="100" t="inlineStr">
        <is>
          <t>-</t>
        </is>
      </c>
      <c r="AM45" s="100" t="inlineStr">
        <is>
          <t>-</t>
        </is>
      </c>
      <c r="AN45" s="100" t="inlineStr">
        <is>
          <t>-</t>
        </is>
      </c>
      <c r="AO45" s="100" t="inlineStr">
        <is>
          <t>-</t>
        </is>
      </c>
      <c r="AP45" s="100" t="inlineStr">
        <is>
          <t>-</t>
        </is>
      </c>
      <c r="AQ45" s="100" t="inlineStr">
        <is>
          <t>-</t>
        </is>
      </c>
      <c r="AR45" s="100" t="inlineStr">
        <is>
          <t>-</t>
        </is>
      </c>
      <c r="AS45" s="100" t="inlineStr">
        <is>
          <t>-</t>
        </is>
      </c>
      <c r="AT45" s="100" t="inlineStr">
        <is>
          <t>-</t>
        </is>
      </c>
      <c r="AU45" s="100" t="inlineStr">
        <is>
          <t>-</t>
        </is>
      </c>
      <c r="AV45" s="100" t="inlineStr">
        <is>
          <t>-</t>
        </is>
      </c>
      <c r="AW45" s="100" t="inlineStr">
        <is>
          <t>-</t>
        </is>
      </c>
      <c r="AX45" s="100" t="inlineStr">
        <is>
          <t>-</t>
        </is>
      </c>
      <c r="AY45" s="100" t="inlineStr">
        <is>
          <t>-</t>
        </is>
      </c>
      <c r="AZ45" s="100" t="inlineStr">
        <is>
          <t>-</t>
        </is>
      </c>
      <c r="BA45" s="100" t="inlineStr">
        <is>
          <t>-</t>
        </is>
      </c>
    </row>
    <row r="46" ht="60" customHeight="1">
      <c r="A46" s="5" t="inlineStr">
        <is>
          <t>AI-R41</t>
        </is>
      </c>
      <c r="B46" s="5" t="inlineStr">
        <is>
          <t>AI-Washing and Unverified AI Capability Claims</t>
        </is>
      </c>
      <c r="C46" s="100" t="inlineStr">
        <is>
          <t>-</t>
        </is>
      </c>
      <c r="D46" s="100" t="inlineStr">
        <is>
          <t>-</t>
        </is>
      </c>
      <c r="E46" s="6" t="inlineStr">
        <is>
          <t>09 Vendor due diligence; 10 Societal and reputational</t>
        </is>
      </c>
      <c r="F46" s="100" t="inlineStr">
        <is>
          <t>-</t>
        </is>
      </c>
      <c r="G46" s="100" t="inlineStr">
        <is>
          <t>-</t>
        </is>
      </c>
      <c r="H46" s="100" t="inlineStr">
        <is>
          <t>-</t>
        </is>
      </c>
      <c r="I46" s="100" t="inlineStr">
        <is>
          <t>-</t>
        </is>
      </c>
      <c r="J46" s="100" t="inlineStr">
        <is>
          <t>-</t>
        </is>
      </c>
      <c r="K46" s="100" t="inlineStr">
        <is>
          <t>-</t>
        </is>
      </c>
      <c r="L46" s="100" t="inlineStr">
        <is>
          <t>-</t>
        </is>
      </c>
      <c r="M46" s="100" t="inlineStr">
        <is>
          <t>-</t>
        </is>
      </c>
      <c r="N46" s="100" t="inlineStr">
        <is>
          <t>-</t>
        </is>
      </c>
      <c r="O46" s="100" t="inlineStr">
        <is>
          <t>-</t>
        </is>
      </c>
      <c r="P46" s="100" t="inlineStr">
        <is>
          <t>-</t>
        </is>
      </c>
      <c r="Q46" s="100" t="inlineStr">
        <is>
          <t>-</t>
        </is>
      </c>
      <c r="R46" s="100" t="inlineStr">
        <is>
          <t>-</t>
        </is>
      </c>
      <c r="S46" s="100" t="inlineStr">
        <is>
          <t>-</t>
        </is>
      </c>
      <c r="T46" s="100" t="inlineStr">
        <is>
          <t>-</t>
        </is>
      </c>
      <c r="U46" s="100" t="inlineStr">
        <is>
          <t>-</t>
        </is>
      </c>
      <c r="V46" s="100" t="inlineStr">
        <is>
          <t>-</t>
        </is>
      </c>
      <c r="W46" s="100" t="inlineStr">
        <is>
          <t>-</t>
        </is>
      </c>
      <c r="X46" s="100" t="inlineStr">
        <is>
          <t>-</t>
        </is>
      </c>
      <c r="Y46" s="100" t="inlineStr">
        <is>
          <t>-</t>
        </is>
      </c>
      <c r="Z46" s="100" t="inlineStr">
        <is>
          <t>-</t>
        </is>
      </c>
      <c r="AA46" s="100" t="inlineStr">
        <is>
          <t>-</t>
        </is>
      </c>
      <c r="AB46" s="100" t="inlineStr">
        <is>
          <t>-</t>
        </is>
      </c>
      <c r="AC46" s="100" t="inlineStr">
        <is>
          <t>-</t>
        </is>
      </c>
      <c r="AD46" s="100" t="inlineStr">
        <is>
          <t>-</t>
        </is>
      </c>
      <c r="AE46" s="100" t="inlineStr">
        <is>
          <t>-</t>
        </is>
      </c>
      <c r="AF46" s="100" t="inlineStr">
        <is>
          <t>-</t>
        </is>
      </c>
      <c r="AG46" s="100" t="inlineStr">
        <is>
          <t>-</t>
        </is>
      </c>
      <c r="AH46" s="100" t="inlineStr">
        <is>
          <t>-</t>
        </is>
      </c>
      <c r="AI46" s="100" t="inlineStr">
        <is>
          <t>-</t>
        </is>
      </c>
      <c r="AJ46" s="100" t="inlineStr">
        <is>
          <t>-</t>
        </is>
      </c>
      <c r="AK46" s="100" t="inlineStr">
        <is>
          <t>-</t>
        </is>
      </c>
      <c r="AL46" s="100" t="inlineStr">
        <is>
          <t>-</t>
        </is>
      </c>
      <c r="AM46" s="100" t="inlineStr">
        <is>
          <t>-</t>
        </is>
      </c>
      <c r="AN46" s="100" t="inlineStr">
        <is>
          <t>-</t>
        </is>
      </c>
      <c r="AO46" s="100" t="inlineStr">
        <is>
          <t>-</t>
        </is>
      </c>
      <c r="AP46" s="100" t="inlineStr">
        <is>
          <t>-</t>
        </is>
      </c>
      <c r="AQ46" s="100" t="inlineStr">
        <is>
          <t>-</t>
        </is>
      </c>
      <c r="AR46" s="100" t="inlineStr">
        <is>
          <t>-</t>
        </is>
      </c>
      <c r="AS46" s="100" t="inlineStr">
        <is>
          <t>-</t>
        </is>
      </c>
      <c r="AT46" s="100" t="inlineStr">
        <is>
          <t>-</t>
        </is>
      </c>
      <c r="AU46" s="100" t="inlineStr">
        <is>
          <t>-</t>
        </is>
      </c>
      <c r="AV46" s="100" t="inlineStr">
        <is>
          <t>-</t>
        </is>
      </c>
      <c r="AW46" s="100" t="inlineStr">
        <is>
          <t>-</t>
        </is>
      </c>
      <c r="AX46" s="100" t="inlineStr">
        <is>
          <t>-</t>
        </is>
      </c>
      <c r="AY46" s="100" t="inlineStr">
        <is>
          <t>-</t>
        </is>
      </c>
      <c r="AZ46" s="100" t="inlineStr">
        <is>
          <t>-</t>
        </is>
      </c>
      <c r="BA46" s="100" t="inlineStr">
        <is>
          <t>-</t>
        </is>
      </c>
    </row>
    <row r="47" ht="60" customHeight="1">
      <c r="A47" s="5" t="inlineStr">
        <is>
          <t>AI-R42</t>
        </is>
      </c>
      <c r="B47" s="5" t="inlineStr">
        <is>
          <t>Anthropomorphism and Emotional Dependence</t>
        </is>
      </c>
      <c r="C47" s="100" t="inlineStr">
        <is>
          <t>-</t>
        </is>
      </c>
      <c r="D47" s="100" t="inlineStr">
        <is>
          <t>-</t>
        </is>
      </c>
      <c r="E47" s="6" t="inlineStr">
        <is>
          <t>06 Transparency, disclosure and provenance; 06 Human agency and over-reliance</t>
        </is>
      </c>
      <c r="F47" s="100" t="inlineStr">
        <is>
          <t>-</t>
        </is>
      </c>
      <c r="G47" s="6" t="inlineStr">
        <is>
          <t>Human-AI Configuration</t>
        </is>
      </c>
      <c r="H47" s="100" t="inlineStr">
        <is>
          <t>-</t>
        </is>
      </c>
      <c r="I47" s="100" t="inlineStr">
        <is>
          <t>-</t>
        </is>
      </c>
      <c r="J47" s="100" t="inlineStr">
        <is>
          <t>-</t>
        </is>
      </c>
      <c r="K47" s="100" t="inlineStr">
        <is>
          <t>-</t>
        </is>
      </c>
      <c r="L47" s="100" t="inlineStr">
        <is>
          <t>-</t>
        </is>
      </c>
      <c r="M47" s="100" t="inlineStr">
        <is>
          <t>-</t>
        </is>
      </c>
      <c r="N47" s="100" t="inlineStr">
        <is>
          <t>-</t>
        </is>
      </c>
      <c r="O47" s="100" t="inlineStr">
        <is>
          <t>-</t>
        </is>
      </c>
      <c r="P47" s="100" t="inlineStr">
        <is>
          <t>-</t>
        </is>
      </c>
      <c r="Q47" s="100" t="inlineStr">
        <is>
          <t>-</t>
        </is>
      </c>
      <c r="R47" s="100" t="inlineStr">
        <is>
          <t>-</t>
        </is>
      </c>
      <c r="S47" s="100" t="inlineStr">
        <is>
          <t>-</t>
        </is>
      </c>
      <c r="T47" s="100" t="inlineStr">
        <is>
          <t>-</t>
        </is>
      </c>
      <c r="U47" s="100" t="inlineStr">
        <is>
          <t>-</t>
        </is>
      </c>
      <c r="V47" s="100" t="inlineStr">
        <is>
          <t>-</t>
        </is>
      </c>
      <c r="W47" s="100" t="inlineStr">
        <is>
          <t>-</t>
        </is>
      </c>
      <c r="X47" s="100" t="inlineStr">
        <is>
          <t>-</t>
        </is>
      </c>
      <c r="Y47" s="100" t="inlineStr">
        <is>
          <t>-</t>
        </is>
      </c>
      <c r="Z47" s="100" t="inlineStr">
        <is>
          <t>-</t>
        </is>
      </c>
      <c r="AA47" s="100" t="inlineStr">
        <is>
          <t>-</t>
        </is>
      </c>
      <c r="AB47" s="100" t="inlineStr">
        <is>
          <t>-</t>
        </is>
      </c>
      <c r="AC47" s="100" t="inlineStr">
        <is>
          <t>-</t>
        </is>
      </c>
      <c r="AD47" s="100" t="inlineStr">
        <is>
          <t>-</t>
        </is>
      </c>
      <c r="AE47" s="100" t="inlineStr">
        <is>
          <t>-</t>
        </is>
      </c>
      <c r="AF47" s="100" t="inlineStr">
        <is>
          <t>-</t>
        </is>
      </c>
      <c r="AG47" s="100" t="inlineStr">
        <is>
          <t>-</t>
        </is>
      </c>
      <c r="AH47" s="100" t="inlineStr">
        <is>
          <t>-</t>
        </is>
      </c>
      <c r="AI47" s="100" t="inlineStr">
        <is>
          <t>-</t>
        </is>
      </c>
      <c r="AJ47" s="100" t="inlineStr">
        <is>
          <t>-</t>
        </is>
      </c>
      <c r="AK47" s="100" t="inlineStr">
        <is>
          <t>-</t>
        </is>
      </c>
      <c r="AL47" s="100" t="inlineStr">
        <is>
          <t>-</t>
        </is>
      </c>
      <c r="AM47" s="100" t="inlineStr">
        <is>
          <t>-</t>
        </is>
      </c>
      <c r="AN47" s="100" t="inlineStr">
        <is>
          <t>-</t>
        </is>
      </c>
      <c r="AO47" s="100" t="inlineStr">
        <is>
          <t>-</t>
        </is>
      </c>
      <c r="AP47" s="100" t="inlineStr">
        <is>
          <t>-</t>
        </is>
      </c>
      <c r="AQ47" s="100" t="inlineStr">
        <is>
          <t>-</t>
        </is>
      </c>
      <c r="AR47" s="100" t="inlineStr">
        <is>
          <t>-</t>
        </is>
      </c>
      <c r="AS47" s="100" t="inlineStr">
        <is>
          <t>-</t>
        </is>
      </c>
      <c r="AT47" s="100" t="inlineStr">
        <is>
          <t>-</t>
        </is>
      </c>
      <c r="AU47" s="100" t="inlineStr">
        <is>
          <t>-</t>
        </is>
      </c>
      <c r="AV47" s="100" t="inlineStr">
        <is>
          <t>-</t>
        </is>
      </c>
      <c r="AW47" s="100" t="inlineStr">
        <is>
          <t>-</t>
        </is>
      </c>
      <c r="AX47" s="100" t="inlineStr">
        <is>
          <t>-</t>
        </is>
      </c>
      <c r="AY47" s="100" t="inlineStr">
        <is>
          <t>-</t>
        </is>
      </c>
      <c r="AZ47" s="100" t="inlineStr">
        <is>
          <t>-</t>
        </is>
      </c>
      <c r="BA47" s="100" t="inlineStr">
        <is>
          <t>-</t>
        </is>
      </c>
    </row>
    <row r="48" ht="60" customHeight="1">
      <c r="A48" s="5" t="inlineStr">
        <is>
          <t>AI-R43</t>
        </is>
      </c>
      <c r="B48" s="5" t="inlineStr">
        <is>
          <t>Hallucinated Package Dependencies</t>
        </is>
      </c>
      <c r="C48" s="100" t="inlineStr">
        <is>
          <t>-</t>
        </is>
      </c>
      <c r="D48" s="100" t="inlineStr">
        <is>
          <t>-</t>
        </is>
      </c>
      <c r="E48" s="6" t="inlineStr">
        <is>
          <t>05 Supply-chain and artifact integrity</t>
        </is>
      </c>
      <c r="F48" s="100" t="inlineStr">
        <is>
          <t>-</t>
        </is>
      </c>
      <c r="G48" s="100" t="inlineStr">
        <is>
          <t>-</t>
        </is>
      </c>
      <c r="H48" s="100" t="inlineStr">
        <is>
          <t>-</t>
        </is>
      </c>
      <c r="I48" s="100" t="inlineStr">
        <is>
          <t>-</t>
        </is>
      </c>
      <c r="J48" s="100" t="inlineStr">
        <is>
          <t>-</t>
        </is>
      </c>
      <c r="K48" s="100" t="inlineStr">
        <is>
          <t>-</t>
        </is>
      </c>
      <c r="L48" s="100" t="inlineStr">
        <is>
          <t>-</t>
        </is>
      </c>
      <c r="M48" s="100" t="inlineStr">
        <is>
          <t>-</t>
        </is>
      </c>
      <c r="N48" s="100" t="inlineStr">
        <is>
          <t>-</t>
        </is>
      </c>
      <c r="O48" s="100" t="inlineStr">
        <is>
          <t>-</t>
        </is>
      </c>
      <c r="P48" s="100" t="inlineStr">
        <is>
          <t>-</t>
        </is>
      </c>
      <c r="Q48" s="100" t="inlineStr">
        <is>
          <t>-</t>
        </is>
      </c>
      <c r="R48" s="100" t="inlineStr">
        <is>
          <t>-</t>
        </is>
      </c>
      <c r="S48" s="100" t="inlineStr">
        <is>
          <t>-</t>
        </is>
      </c>
      <c r="T48" s="100" t="inlineStr">
        <is>
          <t>-</t>
        </is>
      </c>
      <c r="U48" s="100" t="inlineStr">
        <is>
          <t>-</t>
        </is>
      </c>
      <c r="V48" s="100" t="inlineStr">
        <is>
          <t>-</t>
        </is>
      </c>
      <c r="W48" s="100" t="inlineStr">
        <is>
          <t>-</t>
        </is>
      </c>
      <c r="X48" s="100" t="inlineStr">
        <is>
          <t>-</t>
        </is>
      </c>
      <c r="Y48" s="100" t="inlineStr">
        <is>
          <t>-</t>
        </is>
      </c>
      <c r="Z48" s="100" t="inlineStr">
        <is>
          <t>-</t>
        </is>
      </c>
      <c r="AA48" s="100" t="inlineStr">
        <is>
          <t>-</t>
        </is>
      </c>
      <c r="AB48" s="100" t="inlineStr">
        <is>
          <t>-</t>
        </is>
      </c>
      <c r="AC48" s="100" t="inlineStr">
        <is>
          <t>-</t>
        </is>
      </c>
      <c r="AD48" s="100" t="inlineStr">
        <is>
          <t>-</t>
        </is>
      </c>
      <c r="AE48" s="100" t="inlineStr">
        <is>
          <t>-</t>
        </is>
      </c>
      <c r="AF48" s="100" t="inlineStr">
        <is>
          <t>-</t>
        </is>
      </c>
      <c r="AG48" s="100" t="inlineStr">
        <is>
          <t>-</t>
        </is>
      </c>
      <c r="AH48" s="100" t="inlineStr">
        <is>
          <t>-</t>
        </is>
      </c>
      <c r="AI48" s="100" t="inlineStr">
        <is>
          <t>-</t>
        </is>
      </c>
      <c r="AJ48" s="100" t="inlineStr">
        <is>
          <t>-</t>
        </is>
      </c>
      <c r="AK48" s="100" t="inlineStr">
        <is>
          <t>-</t>
        </is>
      </c>
      <c r="AL48" s="100" t="inlineStr">
        <is>
          <t>-</t>
        </is>
      </c>
      <c r="AM48" s="100" t="inlineStr">
        <is>
          <t>-</t>
        </is>
      </c>
      <c r="AN48" s="100" t="inlineStr">
        <is>
          <t>-</t>
        </is>
      </c>
      <c r="AO48" s="100" t="inlineStr">
        <is>
          <t>-</t>
        </is>
      </c>
      <c r="AP48" s="100" t="inlineStr">
        <is>
          <t>-</t>
        </is>
      </c>
      <c r="AQ48" s="100" t="inlineStr">
        <is>
          <t>-</t>
        </is>
      </c>
      <c r="AR48" s="100" t="inlineStr">
        <is>
          <t>-</t>
        </is>
      </c>
      <c r="AS48" s="100" t="inlineStr">
        <is>
          <t>-</t>
        </is>
      </c>
      <c r="AT48" s="100" t="inlineStr">
        <is>
          <t>-</t>
        </is>
      </c>
      <c r="AU48" s="100" t="inlineStr">
        <is>
          <t>-</t>
        </is>
      </c>
      <c r="AV48" s="100" t="inlineStr">
        <is>
          <t>-</t>
        </is>
      </c>
      <c r="AW48" s="100" t="inlineStr">
        <is>
          <t>-</t>
        </is>
      </c>
      <c r="AX48" s="100" t="inlineStr">
        <is>
          <t>-</t>
        </is>
      </c>
      <c r="AY48" s="100" t="inlineStr">
        <is>
          <t>-</t>
        </is>
      </c>
      <c r="AZ48" s="100" t="inlineStr">
        <is>
          <t>-</t>
        </is>
      </c>
      <c r="BA48" s="100" t="inlineStr">
        <is>
          <t>-</t>
        </is>
      </c>
    </row>
    <row r="49" ht="60" customHeight="1">
      <c r="A49" s="5" t="inlineStr">
        <is>
          <t>AI-R44</t>
        </is>
      </c>
      <c r="B49" s="5" t="inlineStr">
        <is>
          <t>Safety Training Removed from Self-Hosted Models</t>
        </is>
      </c>
      <c r="C49" s="100" t="inlineStr">
        <is>
          <t>-</t>
        </is>
      </c>
      <c r="D49" s="100" t="inlineStr">
        <is>
          <t>-</t>
        </is>
      </c>
      <c r="E49" s="6" t="inlineStr">
        <is>
          <t>09 Open-source component risk</t>
        </is>
      </c>
      <c r="F49" s="100" t="inlineStr">
        <is>
          <t>-</t>
        </is>
      </c>
      <c r="G49" s="100" t="inlineStr">
        <is>
          <t>-</t>
        </is>
      </c>
      <c r="H49" s="100" t="inlineStr">
        <is>
          <t>-</t>
        </is>
      </c>
      <c r="I49" s="100" t="inlineStr">
        <is>
          <t>-</t>
        </is>
      </c>
      <c r="J49" s="100" t="inlineStr">
        <is>
          <t>-</t>
        </is>
      </c>
      <c r="K49" s="100" t="inlineStr">
        <is>
          <t>-</t>
        </is>
      </c>
      <c r="L49" s="100" t="inlineStr">
        <is>
          <t>-</t>
        </is>
      </c>
      <c r="M49" s="100" t="inlineStr">
        <is>
          <t>-</t>
        </is>
      </c>
      <c r="N49" s="100" t="inlineStr">
        <is>
          <t>-</t>
        </is>
      </c>
      <c r="O49" s="100" t="inlineStr">
        <is>
          <t>-</t>
        </is>
      </c>
      <c r="P49" s="100" t="inlineStr">
        <is>
          <t>-</t>
        </is>
      </c>
      <c r="Q49" s="100" t="inlineStr">
        <is>
          <t>-</t>
        </is>
      </c>
      <c r="R49" s="100" t="inlineStr">
        <is>
          <t>-</t>
        </is>
      </c>
      <c r="S49" s="100" t="inlineStr">
        <is>
          <t>-</t>
        </is>
      </c>
      <c r="T49" s="100" t="inlineStr">
        <is>
          <t>-</t>
        </is>
      </c>
      <c r="U49" s="100" t="inlineStr">
        <is>
          <t>-</t>
        </is>
      </c>
      <c r="V49" s="100" t="inlineStr">
        <is>
          <t>-</t>
        </is>
      </c>
      <c r="W49" s="100" t="inlineStr">
        <is>
          <t>-</t>
        </is>
      </c>
      <c r="X49" s="100" t="inlineStr">
        <is>
          <t>-</t>
        </is>
      </c>
      <c r="Y49" s="100" t="inlineStr">
        <is>
          <t>-</t>
        </is>
      </c>
      <c r="Z49" s="100" t="inlineStr">
        <is>
          <t>-</t>
        </is>
      </c>
      <c r="AA49" s="100" t="inlineStr">
        <is>
          <t>-</t>
        </is>
      </c>
      <c r="AB49" s="100" t="inlineStr">
        <is>
          <t>-</t>
        </is>
      </c>
      <c r="AC49" s="100" t="inlineStr">
        <is>
          <t>-</t>
        </is>
      </c>
      <c r="AD49" s="100" t="inlineStr">
        <is>
          <t>-</t>
        </is>
      </c>
      <c r="AE49" s="100" t="inlineStr">
        <is>
          <t>-</t>
        </is>
      </c>
      <c r="AF49" s="100" t="inlineStr">
        <is>
          <t>-</t>
        </is>
      </c>
      <c r="AG49" s="100" t="inlineStr">
        <is>
          <t>-</t>
        </is>
      </c>
      <c r="AH49" s="100" t="inlineStr">
        <is>
          <t>-</t>
        </is>
      </c>
      <c r="AI49" s="100" t="inlineStr">
        <is>
          <t>-</t>
        </is>
      </c>
      <c r="AJ49" s="100" t="inlineStr">
        <is>
          <t>-</t>
        </is>
      </c>
      <c r="AK49" s="100" t="inlineStr">
        <is>
          <t>-</t>
        </is>
      </c>
      <c r="AL49" s="100" t="inlineStr">
        <is>
          <t>-</t>
        </is>
      </c>
      <c r="AM49" s="100" t="inlineStr">
        <is>
          <t>-</t>
        </is>
      </c>
      <c r="AN49" s="100" t="inlineStr">
        <is>
          <t>-</t>
        </is>
      </c>
      <c r="AO49" s="100" t="inlineStr">
        <is>
          <t>-</t>
        </is>
      </c>
      <c r="AP49" s="100" t="inlineStr">
        <is>
          <t>-</t>
        </is>
      </c>
      <c r="AQ49" s="100" t="inlineStr">
        <is>
          <t>-</t>
        </is>
      </c>
      <c r="AR49" s="100" t="inlineStr">
        <is>
          <t>-</t>
        </is>
      </c>
      <c r="AS49" s="100" t="inlineStr">
        <is>
          <t>-</t>
        </is>
      </c>
      <c r="AT49" s="100" t="inlineStr">
        <is>
          <t>-</t>
        </is>
      </c>
      <c r="AU49" s="100" t="inlineStr">
        <is>
          <t>-</t>
        </is>
      </c>
      <c r="AV49" s="100" t="inlineStr">
        <is>
          <t>-</t>
        </is>
      </c>
      <c r="AW49" s="100" t="inlineStr">
        <is>
          <t>-</t>
        </is>
      </c>
      <c r="AX49" s="100" t="inlineStr">
        <is>
          <t>-</t>
        </is>
      </c>
      <c r="AY49" s="100" t="inlineStr">
        <is>
          <t>-</t>
        </is>
      </c>
      <c r="AZ49" s="100" t="inlineStr">
        <is>
          <t>-</t>
        </is>
      </c>
      <c r="BA49" s="100" t="inlineStr">
        <is>
          <t>-</t>
        </is>
      </c>
    </row>
    <row r="50" ht="60" customHeight="1">
      <c r="A50" s="5" t="inlineStr">
        <is>
          <t>AI-R45</t>
        </is>
      </c>
      <c r="B50" s="5" t="inlineStr">
        <is>
          <t>Agent Activity Indistinguishable from Attack</t>
        </is>
      </c>
      <c r="C50" s="100" t="inlineStr">
        <is>
          <t>-</t>
        </is>
      </c>
      <c r="D50" s="100" t="inlineStr">
        <is>
          <t>-</t>
        </is>
      </c>
      <c r="E50" s="6" t="inlineStr">
        <is>
          <t>07 Monitoring and observability</t>
        </is>
      </c>
      <c r="F50" s="100" t="inlineStr">
        <is>
          <t>-</t>
        </is>
      </c>
      <c r="G50" s="100" t="inlineStr">
        <is>
          <t>-</t>
        </is>
      </c>
      <c r="H50" s="100" t="inlineStr">
        <is>
          <t>-</t>
        </is>
      </c>
      <c r="I50" s="100" t="inlineStr">
        <is>
          <t>-</t>
        </is>
      </c>
      <c r="J50" s="100" t="inlineStr">
        <is>
          <t>-</t>
        </is>
      </c>
      <c r="K50" s="6" t="inlineStr">
        <is>
          <t>MCP08:2025</t>
        </is>
      </c>
      <c r="L50" s="100" t="inlineStr">
        <is>
          <t>-</t>
        </is>
      </c>
      <c r="M50" s="100" t="inlineStr">
        <is>
          <t>-</t>
        </is>
      </c>
      <c r="N50" s="100" t="inlineStr">
        <is>
          <t>-</t>
        </is>
      </c>
      <c r="O50" s="100" t="inlineStr">
        <is>
          <t>-</t>
        </is>
      </c>
      <c r="P50" s="100" t="inlineStr">
        <is>
          <t>-</t>
        </is>
      </c>
      <c r="Q50" s="100" t="inlineStr">
        <is>
          <t>-</t>
        </is>
      </c>
      <c r="R50" s="100" t="inlineStr">
        <is>
          <t>-</t>
        </is>
      </c>
      <c r="S50" s="100" t="inlineStr">
        <is>
          <t>-</t>
        </is>
      </c>
      <c r="T50" s="100" t="inlineStr">
        <is>
          <t>-</t>
        </is>
      </c>
      <c r="U50" s="100" t="inlineStr">
        <is>
          <t>-</t>
        </is>
      </c>
      <c r="V50" s="100" t="inlineStr">
        <is>
          <t>-</t>
        </is>
      </c>
      <c r="W50" s="100" t="inlineStr">
        <is>
          <t>-</t>
        </is>
      </c>
      <c r="X50" s="100" t="inlineStr">
        <is>
          <t>-</t>
        </is>
      </c>
      <c r="Y50" s="100" t="inlineStr">
        <is>
          <t>-</t>
        </is>
      </c>
      <c r="Z50" s="100" t="inlineStr">
        <is>
          <t>-</t>
        </is>
      </c>
      <c r="AA50" s="100" t="inlineStr">
        <is>
          <t>-</t>
        </is>
      </c>
      <c r="AB50" s="100" t="inlineStr">
        <is>
          <t>-</t>
        </is>
      </c>
      <c r="AC50" s="100" t="inlineStr">
        <is>
          <t>-</t>
        </is>
      </c>
      <c r="AD50" s="100" t="inlineStr">
        <is>
          <t>-</t>
        </is>
      </c>
      <c r="AE50" s="100" t="inlineStr">
        <is>
          <t>-</t>
        </is>
      </c>
      <c r="AF50" s="100" t="inlineStr">
        <is>
          <t>-</t>
        </is>
      </c>
      <c r="AG50" s="100" t="inlineStr">
        <is>
          <t>-</t>
        </is>
      </c>
      <c r="AH50" s="100" t="inlineStr">
        <is>
          <t>-</t>
        </is>
      </c>
      <c r="AI50" s="100" t="inlineStr">
        <is>
          <t>-</t>
        </is>
      </c>
      <c r="AJ50" s="100" t="inlineStr">
        <is>
          <t>-</t>
        </is>
      </c>
      <c r="AK50" s="100" t="inlineStr">
        <is>
          <t>-</t>
        </is>
      </c>
      <c r="AL50" s="100" t="inlineStr">
        <is>
          <t>-</t>
        </is>
      </c>
      <c r="AM50" s="100" t="inlineStr">
        <is>
          <t>-</t>
        </is>
      </c>
      <c r="AN50" s="100" t="inlineStr">
        <is>
          <t>-</t>
        </is>
      </c>
      <c r="AO50" s="100" t="inlineStr">
        <is>
          <t>-</t>
        </is>
      </c>
      <c r="AP50" s="100" t="inlineStr">
        <is>
          <t>-</t>
        </is>
      </c>
      <c r="AQ50" s="100" t="inlineStr">
        <is>
          <t>-</t>
        </is>
      </c>
      <c r="AR50" s="100" t="inlineStr">
        <is>
          <t>-</t>
        </is>
      </c>
      <c r="AS50" s="100" t="inlineStr">
        <is>
          <t>-</t>
        </is>
      </c>
      <c r="AT50" s="100" t="inlineStr">
        <is>
          <t>-</t>
        </is>
      </c>
      <c r="AU50" s="100" t="inlineStr">
        <is>
          <t>-</t>
        </is>
      </c>
      <c r="AV50" s="100" t="inlineStr">
        <is>
          <t>-</t>
        </is>
      </c>
      <c r="AW50" s="100" t="inlineStr">
        <is>
          <t>-</t>
        </is>
      </c>
      <c r="AX50" s="100" t="inlineStr">
        <is>
          <t>-</t>
        </is>
      </c>
      <c r="AY50" s="100" t="inlineStr">
        <is>
          <t>-</t>
        </is>
      </c>
      <c r="AZ50" s="100" t="inlineStr">
        <is>
          <t>-</t>
        </is>
      </c>
      <c r="BA50" s="100" t="inlineStr">
        <is>
          <t>-</t>
        </is>
      </c>
    </row>
    <row r="51" ht="60" customHeight="1">
      <c r="A51" s="5" t="inlineStr">
        <is>
          <t>AI-R46</t>
        </is>
      </c>
      <c r="B51" s="5" t="inlineStr">
        <is>
          <t>Insider Use of Agents to Exceed Own Access</t>
        </is>
      </c>
      <c r="C51" s="100" t="inlineStr">
        <is>
          <t>-</t>
        </is>
      </c>
      <c r="D51" s="100" t="inlineStr">
        <is>
          <t>-</t>
        </is>
      </c>
      <c r="E51" s="6" t="inlineStr">
        <is>
          <t>05 AI access and identity</t>
        </is>
      </c>
      <c r="F51" s="100" t="inlineStr">
        <is>
          <t>-</t>
        </is>
      </c>
      <c r="G51" s="100" t="inlineStr">
        <is>
          <t>-</t>
        </is>
      </c>
      <c r="H51" s="100" t="inlineStr">
        <is>
          <t>-</t>
        </is>
      </c>
      <c r="I51" s="100" t="inlineStr">
        <is>
          <t>-</t>
        </is>
      </c>
      <c r="J51" s="100" t="inlineStr">
        <is>
          <t>-</t>
        </is>
      </c>
      <c r="K51" s="6" t="inlineStr">
        <is>
          <t>MCP07:2025</t>
        </is>
      </c>
      <c r="L51" s="100" t="inlineStr">
        <is>
          <t>-</t>
        </is>
      </c>
      <c r="M51" s="100" t="inlineStr">
        <is>
          <t>-</t>
        </is>
      </c>
      <c r="N51" s="100" t="inlineStr">
        <is>
          <t>-</t>
        </is>
      </c>
      <c r="O51" s="100" t="inlineStr">
        <is>
          <t>-</t>
        </is>
      </c>
      <c r="P51" s="100" t="inlineStr">
        <is>
          <t>-</t>
        </is>
      </c>
      <c r="Q51" s="100" t="inlineStr">
        <is>
          <t>-</t>
        </is>
      </c>
      <c r="R51" s="100" t="inlineStr">
        <is>
          <t>-</t>
        </is>
      </c>
      <c r="S51" s="100" t="inlineStr">
        <is>
          <t>-</t>
        </is>
      </c>
      <c r="T51" s="100" t="inlineStr">
        <is>
          <t>-</t>
        </is>
      </c>
      <c r="U51" s="100" t="inlineStr">
        <is>
          <t>-</t>
        </is>
      </c>
      <c r="V51" s="100" t="inlineStr">
        <is>
          <t>-</t>
        </is>
      </c>
      <c r="W51" s="100" t="inlineStr">
        <is>
          <t>-</t>
        </is>
      </c>
      <c r="X51" s="100" t="inlineStr">
        <is>
          <t>-</t>
        </is>
      </c>
      <c r="Y51" s="100" t="inlineStr">
        <is>
          <t>-</t>
        </is>
      </c>
      <c r="Z51" s="100" t="inlineStr">
        <is>
          <t>-</t>
        </is>
      </c>
      <c r="AA51" s="100" t="inlineStr">
        <is>
          <t>-</t>
        </is>
      </c>
      <c r="AB51" s="100" t="inlineStr">
        <is>
          <t>-</t>
        </is>
      </c>
      <c r="AC51" s="100" t="inlineStr">
        <is>
          <t>-</t>
        </is>
      </c>
      <c r="AD51" s="100" t="inlineStr">
        <is>
          <t>-</t>
        </is>
      </c>
      <c r="AE51" s="100" t="inlineStr">
        <is>
          <t>-</t>
        </is>
      </c>
      <c r="AF51" s="100" t="inlineStr">
        <is>
          <t>-</t>
        </is>
      </c>
      <c r="AG51" s="100" t="inlineStr">
        <is>
          <t>-</t>
        </is>
      </c>
      <c r="AH51" s="100" t="inlineStr">
        <is>
          <t>-</t>
        </is>
      </c>
      <c r="AI51" s="100" t="inlineStr">
        <is>
          <t>-</t>
        </is>
      </c>
      <c r="AJ51" s="100" t="inlineStr">
        <is>
          <t>-</t>
        </is>
      </c>
      <c r="AK51" s="100" t="inlineStr">
        <is>
          <t>-</t>
        </is>
      </c>
      <c r="AL51" s="100" t="inlineStr">
        <is>
          <t>-</t>
        </is>
      </c>
      <c r="AM51" s="100" t="inlineStr">
        <is>
          <t>-</t>
        </is>
      </c>
      <c r="AN51" s="100" t="inlineStr">
        <is>
          <t>-</t>
        </is>
      </c>
      <c r="AO51" s="100" t="inlineStr">
        <is>
          <t>-</t>
        </is>
      </c>
      <c r="AP51" s="100" t="inlineStr">
        <is>
          <t>-</t>
        </is>
      </c>
      <c r="AQ51" s="100" t="inlineStr">
        <is>
          <t>-</t>
        </is>
      </c>
      <c r="AR51" s="100" t="inlineStr">
        <is>
          <t>-</t>
        </is>
      </c>
      <c r="AS51" s="100" t="inlineStr">
        <is>
          <t>-</t>
        </is>
      </c>
      <c r="AT51" s="100" t="inlineStr">
        <is>
          <t>-</t>
        </is>
      </c>
      <c r="AU51" s="100" t="inlineStr">
        <is>
          <t>-</t>
        </is>
      </c>
      <c r="AV51" s="100" t="inlineStr">
        <is>
          <t>-</t>
        </is>
      </c>
      <c r="AW51" s="100" t="inlineStr">
        <is>
          <t>-</t>
        </is>
      </c>
      <c r="AX51" s="100" t="inlineStr">
        <is>
          <t>-</t>
        </is>
      </c>
      <c r="AY51" s="100" t="inlineStr">
        <is>
          <t>-</t>
        </is>
      </c>
      <c r="AZ51" s="100" t="inlineStr">
        <is>
          <t>-</t>
        </is>
      </c>
      <c r="BA51" s="100" t="inlineStr">
        <is>
          <t>-</t>
        </is>
      </c>
    </row>
    <row r="52" ht="60" customHeight="1">
      <c r="A52" s="5" t="inlineStr">
        <is>
          <t>AI-R47</t>
        </is>
      </c>
      <c r="B52" s="5" t="inlineStr">
        <is>
          <t>Model Extraction and Inference Attacks</t>
        </is>
      </c>
      <c r="C52" s="100" t="inlineStr">
        <is>
          <t>-</t>
        </is>
      </c>
      <c r="D52" s="100" t="inlineStr">
        <is>
          <t>-</t>
        </is>
      </c>
      <c r="E52" s="6" t="inlineStr">
        <is>
          <t>05 Model attacks</t>
        </is>
      </c>
      <c r="F52" s="100" t="inlineStr">
        <is>
          <t>-</t>
        </is>
      </c>
      <c r="G52" s="100" t="inlineStr">
        <is>
          <t>-</t>
        </is>
      </c>
      <c r="H52" s="100" t="inlineStr">
        <is>
          <t>-</t>
        </is>
      </c>
      <c r="I52" s="100" t="inlineStr">
        <is>
          <t>-</t>
        </is>
      </c>
      <c r="J52" s="100" t="inlineStr">
        <is>
          <t>-</t>
        </is>
      </c>
      <c r="K52" s="100" t="inlineStr">
        <is>
          <t>-</t>
        </is>
      </c>
      <c r="L52" s="100" t="inlineStr">
        <is>
          <t>-</t>
        </is>
      </c>
      <c r="M52" s="100" t="inlineStr">
        <is>
          <t>-</t>
        </is>
      </c>
      <c r="N52" s="100" t="inlineStr">
        <is>
          <t>-</t>
        </is>
      </c>
      <c r="O52" s="100" t="inlineStr">
        <is>
          <t>-</t>
        </is>
      </c>
      <c r="P52" s="100" t="inlineStr">
        <is>
          <t>-</t>
        </is>
      </c>
      <c r="Q52" s="100" t="inlineStr">
        <is>
          <t>-</t>
        </is>
      </c>
      <c r="R52" s="100" t="inlineStr">
        <is>
          <t>-</t>
        </is>
      </c>
      <c r="S52" s="100" t="inlineStr">
        <is>
          <t>-</t>
        </is>
      </c>
      <c r="T52" s="100" t="inlineStr">
        <is>
          <t>-</t>
        </is>
      </c>
      <c r="U52" s="100" t="inlineStr">
        <is>
          <t>-</t>
        </is>
      </c>
      <c r="V52" s="100" t="inlineStr">
        <is>
          <t>-</t>
        </is>
      </c>
      <c r="W52" s="100" t="inlineStr">
        <is>
          <t>-</t>
        </is>
      </c>
      <c r="X52" s="100" t="inlineStr">
        <is>
          <t>-</t>
        </is>
      </c>
      <c r="Y52" s="100" t="inlineStr">
        <is>
          <t>-</t>
        </is>
      </c>
      <c r="Z52" s="100" t="inlineStr">
        <is>
          <t>-</t>
        </is>
      </c>
      <c r="AA52" s="100" t="inlineStr">
        <is>
          <t>-</t>
        </is>
      </c>
      <c r="AB52" s="100" t="inlineStr">
        <is>
          <t>-</t>
        </is>
      </c>
      <c r="AC52" s="100" t="inlineStr">
        <is>
          <t>-</t>
        </is>
      </c>
      <c r="AD52" s="100" t="inlineStr">
        <is>
          <t>-</t>
        </is>
      </c>
      <c r="AE52" s="100" t="inlineStr">
        <is>
          <t>-</t>
        </is>
      </c>
      <c r="AF52" s="100" t="inlineStr">
        <is>
          <t>-</t>
        </is>
      </c>
      <c r="AG52" s="100" t="inlineStr">
        <is>
          <t>-</t>
        </is>
      </c>
      <c r="AH52" s="100" t="inlineStr">
        <is>
          <t>-</t>
        </is>
      </c>
      <c r="AI52" s="100" t="inlineStr">
        <is>
          <t>-</t>
        </is>
      </c>
      <c r="AJ52" s="100" t="inlineStr">
        <is>
          <t>-</t>
        </is>
      </c>
      <c r="AK52" s="100" t="inlineStr">
        <is>
          <t>-</t>
        </is>
      </c>
      <c r="AL52" s="100" t="inlineStr">
        <is>
          <t>-</t>
        </is>
      </c>
      <c r="AM52" s="100" t="inlineStr">
        <is>
          <t>-</t>
        </is>
      </c>
      <c r="AN52" s="100" t="inlineStr">
        <is>
          <t>-</t>
        </is>
      </c>
      <c r="AO52" s="100" t="inlineStr">
        <is>
          <t>-</t>
        </is>
      </c>
      <c r="AP52" s="100" t="inlineStr">
        <is>
          <t>-</t>
        </is>
      </c>
      <c r="AQ52" s="100" t="inlineStr">
        <is>
          <t>-</t>
        </is>
      </c>
      <c r="AR52" s="100" t="inlineStr">
        <is>
          <t>-</t>
        </is>
      </c>
      <c r="AS52" s="100" t="inlineStr">
        <is>
          <t>-</t>
        </is>
      </c>
      <c r="AT52" s="100" t="inlineStr">
        <is>
          <t>-</t>
        </is>
      </c>
      <c r="AU52" s="100" t="inlineStr">
        <is>
          <t>-</t>
        </is>
      </c>
      <c r="AV52" s="100" t="inlineStr">
        <is>
          <t>-</t>
        </is>
      </c>
      <c r="AW52" s="100" t="inlineStr">
        <is>
          <t>-</t>
        </is>
      </c>
      <c r="AX52" s="100" t="inlineStr">
        <is>
          <t>-</t>
        </is>
      </c>
      <c r="AY52" s="100" t="inlineStr">
        <is>
          <t>-</t>
        </is>
      </c>
      <c r="AZ52" s="100" t="inlineStr">
        <is>
          <t>-</t>
        </is>
      </c>
      <c r="BA52" s="100" t="inlineStr">
        <is>
          <t>-</t>
        </is>
      </c>
    </row>
    <row r="53" ht="60" customHeight="1">
      <c r="A53" s="5" t="inlineStr">
        <is>
          <t>AI-R48</t>
        </is>
      </c>
      <c r="B53" s="5" t="inlineStr">
        <is>
          <t>AI Incidents Not Recognised or Handled</t>
        </is>
      </c>
      <c r="C53" s="100" t="inlineStr">
        <is>
          <t>-</t>
        </is>
      </c>
      <c r="D53" s="100" t="inlineStr">
        <is>
          <t>-</t>
        </is>
      </c>
      <c r="E53" s="6" t="inlineStr">
        <is>
          <t>07 Incident management</t>
        </is>
      </c>
      <c r="F53" s="100" t="inlineStr">
        <is>
          <t>-</t>
        </is>
      </c>
      <c r="G53" s="100" t="inlineStr">
        <is>
          <t>-</t>
        </is>
      </c>
      <c r="H53" s="100" t="inlineStr">
        <is>
          <t>-</t>
        </is>
      </c>
      <c r="I53" s="100" t="inlineStr">
        <is>
          <t>-</t>
        </is>
      </c>
      <c r="J53" s="100" t="inlineStr">
        <is>
          <t>-</t>
        </is>
      </c>
      <c r="K53" s="100" t="inlineStr">
        <is>
          <t>-</t>
        </is>
      </c>
      <c r="L53" s="100" t="inlineStr">
        <is>
          <t>-</t>
        </is>
      </c>
      <c r="M53" s="100" t="inlineStr">
        <is>
          <t>-</t>
        </is>
      </c>
      <c r="N53" s="100" t="inlineStr">
        <is>
          <t>-</t>
        </is>
      </c>
      <c r="O53" s="100" t="inlineStr">
        <is>
          <t>-</t>
        </is>
      </c>
      <c r="P53" s="100" t="inlineStr">
        <is>
          <t>-</t>
        </is>
      </c>
      <c r="Q53" s="100" t="inlineStr">
        <is>
          <t>-</t>
        </is>
      </c>
      <c r="R53" s="100" t="inlineStr">
        <is>
          <t>-</t>
        </is>
      </c>
      <c r="S53" s="100" t="inlineStr">
        <is>
          <t>-</t>
        </is>
      </c>
      <c r="T53" s="100" t="inlineStr">
        <is>
          <t>-</t>
        </is>
      </c>
      <c r="U53" s="100" t="inlineStr">
        <is>
          <t>-</t>
        </is>
      </c>
      <c r="V53" s="100" t="inlineStr">
        <is>
          <t>-</t>
        </is>
      </c>
      <c r="W53" s="100" t="inlineStr">
        <is>
          <t>-</t>
        </is>
      </c>
      <c r="X53" s="100" t="inlineStr">
        <is>
          <t>-</t>
        </is>
      </c>
      <c r="Y53" s="100" t="inlineStr">
        <is>
          <t>-</t>
        </is>
      </c>
      <c r="Z53" s="100" t="inlineStr">
        <is>
          <t>-</t>
        </is>
      </c>
      <c r="AA53" s="100" t="inlineStr">
        <is>
          <t>-</t>
        </is>
      </c>
      <c r="AB53" s="100" t="inlineStr">
        <is>
          <t>-</t>
        </is>
      </c>
      <c r="AC53" s="100" t="inlineStr">
        <is>
          <t>-</t>
        </is>
      </c>
      <c r="AD53" s="100" t="inlineStr">
        <is>
          <t>-</t>
        </is>
      </c>
      <c r="AE53" s="100" t="inlineStr">
        <is>
          <t>-</t>
        </is>
      </c>
      <c r="AF53" s="100" t="inlineStr">
        <is>
          <t>-</t>
        </is>
      </c>
      <c r="AG53" s="100" t="inlineStr">
        <is>
          <t>-</t>
        </is>
      </c>
      <c r="AH53" s="100" t="inlineStr">
        <is>
          <t>-</t>
        </is>
      </c>
      <c r="AI53" s="100" t="inlineStr">
        <is>
          <t>-</t>
        </is>
      </c>
      <c r="AJ53" s="100" t="inlineStr">
        <is>
          <t>-</t>
        </is>
      </c>
      <c r="AK53" s="100" t="inlineStr">
        <is>
          <t>-</t>
        </is>
      </c>
      <c r="AL53" s="100" t="inlineStr">
        <is>
          <t>-</t>
        </is>
      </c>
      <c r="AM53" s="100" t="inlineStr">
        <is>
          <t>-</t>
        </is>
      </c>
      <c r="AN53" s="100" t="inlineStr">
        <is>
          <t>-</t>
        </is>
      </c>
      <c r="AO53" s="100" t="inlineStr">
        <is>
          <t>-</t>
        </is>
      </c>
      <c r="AP53" s="100" t="inlineStr">
        <is>
          <t>-</t>
        </is>
      </c>
      <c r="AQ53" s="100" t="inlineStr">
        <is>
          <t>-</t>
        </is>
      </c>
      <c r="AR53" s="100" t="inlineStr">
        <is>
          <t>-</t>
        </is>
      </c>
      <c r="AS53" s="100" t="inlineStr">
        <is>
          <t>-</t>
        </is>
      </c>
      <c r="AT53" s="100" t="inlineStr">
        <is>
          <t>-</t>
        </is>
      </c>
      <c r="AU53" s="100" t="inlineStr">
        <is>
          <t>-</t>
        </is>
      </c>
      <c r="AV53" s="100" t="inlineStr">
        <is>
          <t>-</t>
        </is>
      </c>
      <c r="AW53" s="100" t="inlineStr">
        <is>
          <t>-</t>
        </is>
      </c>
      <c r="AX53" s="100" t="inlineStr">
        <is>
          <t>-</t>
        </is>
      </c>
      <c r="AY53" s="100" t="inlineStr">
        <is>
          <t>-</t>
        </is>
      </c>
      <c r="AZ53" s="100" t="inlineStr">
        <is>
          <t>-</t>
        </is>
      </c>
      <c r="BA53" s="100" t="inlineStr">
        <is>
          <t>-</t>
        </is>
      </c>
    </row>
    <row r="54" ht="60" customHeight="1">
      <c r="A54" s="5" t="inlineStr">
        <is>
          <t>AI-R49</t>
        </is>
      </c>
      <c r="B54" s="5" t="inlineStr">
        <is>
          <t>Personal Data That Cannot Be Removed from Models</t>
        </is>
      </c>
      <c r="C54" s="100" t="inlineStr">
        <is>
          <t>-</t>
        </is>
      </c>
      <c r="D54" s="100" t="inlineStr">
        <is>
          <t>-</t>
        </is>
      </c>
      <c r="E54" s="6" t="inlineStr">
        <is>
          <t>03 Privacy and consent; 03 Retention and disposal</t>
        </is>
      </c>
      <c r="F54" s="100" t="inlineStr">
        <is>
          <t>-</t>
        </is>
      </c>
      <c r="G54" s="100" t="inlineStr">
        <is>
          <t>-</t>
        </is>
      </c>
      <c r="H54" s="100" t="inlineStr">
        <is>
          <t>-</t>
        </is>
      </c>
      <c r="I54" s="100" t="inlineStr">
        <is>
          <t>-</t>
        </is>
      </c>
      <c r="J54" s="100" t="inlineStr">
        <is>
          <t>-</t>
        </is>
      </c>
      <c r="K54" s="100" t="inlineStr">
        <is>
          <t>-</t>
        </is>
      </c>
      <c r="L54" s="100" t="inlineStr">
        <is>
          <t>-</t>
        </is>
      </c>
      <c r="M54" s="100" t="inlineStr">
        <is>
          <t>-</t>
        </is>
      </c>
      <c r="N54" s="100" t="inlineStr">
        <is>
          <t>-</t>
        </is>
      </c>
      <c r="O54" s="100" t="inlineStr">
        <is>
          <t>-</t>
        </is>
      </c>
      <c r="P54" s="100" t="inlineStr">
        <is>
          <t>-</t>
        </is>
      </c>
      <c r="Q54" s="100" t="inlineStr">
        <is>
          <t>-</t>
        </is>
      </c>
      <c r="R54" s="100" t="inlineStr">
        <is>
          <t>-</t>
        </is>
      </c>
      <c r="S54" s="100" t="inlineStr">
        <is>
          <t>-</t>
        </is>
      </c>
      <c r="T54" s="100" t="inlineStr">
        <is>
          <t>-</t>
        </is>
      </c>
      <c r="U54" s="100" t="inlineStr">
        <is>
          <t>-</t>
        </is>
      </c>
      <c r="V54" s="100" t="inlineStr">
        <is>
          <t>-</t>
        </is>
      </c>
      <c r="W54" s="100" t="inlineStr">
        <is>
          <t>-</t>
        </is>
      </c>
      <c r="X54" s="100" t="inlineStr">
        <is>
          <t>-</t>
        </is>
      </c>
      <c r="Y54" s="100" t="inlineStr">
        <is>
          <t>-</t>
        </is>
      </c>
      <c r="Z54" s="100" t="inlineStr">
        <is>
          <t>-</t>
        </is>
      </c>
      <c r="AA54" s="100" t="inlineStr">
        <is>
          <t>-</t>
        </is>
      </c>
      <c r="AB54" s="100" t="inlineStr">
        <is>
          <t>-</t>
        </is>
      </c>
      <c r="AC54" s="100" t="inlineStr">
        <is>
          <t>-</t>
        </is>
      </c>
      <c r="AD54" s="100" t="inlineStr">
        <is>
          <t>-</t>
        </is>
      </c>
      <c r="AE54" s="100" t="inlineStr">
        <is>
          <t>-</t>
        </is>
      </c>
      <c r="AF54" s="100" t="inlineStr">
        <is>
          <t>-</t>
        </is>
      </c>
      <c r="AG54" s="100" t="inlineStr">
        <is>
          <t>-</t>
        </is>
      </c>
      <c r="AH54" s="100" t="inlineStr">
        <is>
          <t>-</t>
        </is>
      </c>
      <c r="AI54" s="100" t="inlineStr">
        <is>
          <t>-</t>
        </is>
      </c>
      <c r="AJ54" s="100" t="inlineStr">
        <is>
          <t>-</t>
        </is>
      </c>
      <c r="AK54" s="100" t="inlineStr">
        <is>
          <t>-</t>
        </is>
      </c>
      <c r="AL54" s="100" t="inlineStr">
        <is>
          <t>-</t>
        </is>
      </c>
      <c r="AM54" s="100" t="inlineStr">
        <is>
          <t>-</t>
        </is>
      </c>
      <c r="AN54" s="100" t="inlineStr">
        <is>
          <t>-</t>
        </is>
      </c>
      <c r="AO54" s="100" t="inlineStr">
        <is>
          <t>-</t>
        </is>
      </c>
      <c r="AP54" s="100" t="inlineStr">
        <is>
          <t>-</t>
        </is>
      </c>
      <c r="AQ54" s="100" t="inlineStr">
        <is>
          <t>-</t>
        </is>
      </c>
      <c r="AR54" s="100" t="inlineStr">
        <is>
          <t>-</t>
        </is>
      </c>
      <c r="AS54" s="100" t="inlineStr">
        <is>
          <t>-</t>
        </is>
      </c>
      <c r="AT54" s="100" t="inlineStr">
        <is>
          <t>-</t>
        </is>
      </c>
      <c r="AU54" s="100" t="inlineStr">
        <is>
          <t>-</t>
        </is>
      </c>
      <c r="AV54" s="100" t="inlineStr">
        <is>
          <t>-</t>
        </is>
      </c>
      <c r="AW54" s="100" t="inlineStr">
        <is>
          <t>-</t>
        </is>
      </c>
      <c r="AX54" s="100" t="inlineStr">
        <is>
          <t>-</t>
        </is>
      </c>
      <c r="AY54" s="100" t="inlineStr">
        <is>
          <t>-</t>
        </is>
      </c>
      <c r="AZ54" s="100" t="inlineStr">
        <is>
          <t>-</t>
        </is>
      </c>
      <c r="BA54" s="100" t="inlineStr">
        <is>
          <t>-</t>
        </is>
      </c>
    </row>
    <row r="55" ht="60" customHeight="1">
      <c r="A55" s="5" t="inlineStr">
        <is>
          <t>AI-R50</t>
        </is>
      </c>
      <c r="B55" s="5" t="inlineStr">
        <is>
          <t>Training-Serving Skew and Unreproducible Models</t>
        </is>
      </c>
      <c r="C55" s="100" t="inlineStr">
        <is>
          <t>-</t>
        </is>
      </c>
      <c r="D55" s="100" t="inlineStr">
        <is>
          <t>-</t>
        </is>
      </c>
      <c r="E55" s="6" t="inlineStr">
        <is>
          <t>04 Reproducibility and documentation; 07 MLOps and deployment</t>
        </is>
      </c>
      <c r="F55" s="100" t="inlineStr">
        <is>
          <t>-</t>
        </is>
      </c>
      <c r="G55" s="100" t="inlineStr">
        <is>
          <t>-</t>
        </is>
      </c>
      <c r="H55" s="100" t="inlineStr">
        <is>
          <t>-</t>
        </is>
      </c>
      <c r="I55" s="100" t="inlineStr">
        <is>
          <t>-</t>
        </is>
      </c>
      <c r="J55" s="100" t="inlineStr">
        <is>
          <t>-</t>
        </is>
      </c>
      <c r="K55" s="100" t="inlineStr">
        <is>
          <t>-</t>
        </is>
      </c>
      <c r="L55" s="100" t="inlineStr">
        <is>
          <t>-</t>
        </is>
      </c>
      <c r="M55" s="100" t="inlineStr">
        <is>
          <t>-</t>
        </is>
      </c>
      <c r="N55" s="100" t="inlineStr">
        <is>
          <t>-</t>
        </is>
      </c>
      <c r="O55" s="100" t="inlineStr">
        <is>
          <t>-</t>
        </is>
      </c>
      <c r="P55" s="100" t="inlineStr">
        <is>
          <t>-</t>
        </is>
      </c>
      <c r="Q55" s="100" t="inlineStr">
        <is>
          <t>-</t>
        </is>
      </c>
      <c r="R55" s="100" t="inlineStr">
        <is>
          <t>-</t>
        </is>
      </c>
      <c r="S55" s="100" t="inlineStr">
        <is>
          <t>-</t>
        </is>
      </c>
      <c r="T55" s="100" t="inlineStr">
        <is>
          <t>-</t>
        </is>
      </c>
      <c r="U55" s="100" t="inlineStr">
        <is>
          <t>-</t>
        </is>
      </c>
      <c r="V55" s="100" t="inlineStr">
        <is>
          <t>-</t>
        </is>
      </c>
      <c r="W55" s="100" t="inlineStr">
        <is>
          <t>-</t>
        </is>
      </c>
      <c r="X55" s="100" t="inlineStr">
        <is>
          <t>-</t>
        </is>
      </c>
      <c r="Y55" s="100" t="inlineStr">
        <is>
          <t>-</t>
        </is>
      </c>
      <c r="Z55" s="100" t="inlineStr">
        <is>
          <t>-</t>
        </is>
      </c>
      <c r="AA55" s="100" t="inlineStr">
        <is>
          <t>-</t>
        </is>
      </c>
      <c r="AB55" s="100" t="inlineStr">
        <is>
          <t>-</t>
        </is>
      </c>
      <c r="AC55" s="100" t="inlineStr">
        <is>
          <t>-</t>
        </is>
      </c>
      <c r="AD55" s="100" t="inlineStr">
        <is>
          <t>-</t>
        </is>
      </c>
      <c r="AE55" s="100" t="inlineStr">
        <is>
          <t>-</t>
        </is>
      </c>
      <c r="AF55" s="100" t="inlineStr">
        <is>
          <t>-</t>
        </is>
      </c>
      <c r="AG55" s="100" t="inlineStr">
        <is>
          <t>-</t>
        </is>
      </c>
      <c r="AH55" s="100" t="inlineStr">
        <is>
          <t>-</t>
        </is>
      </c>
      <c r="AI55" s="100" t="inlineStr">
        <is>
          <t>-</t>
        </is>
      </c>
      <c r="AJ55" s="100" t="inlineStr">
        <is>
          <t>-</t>
        </is>
      </c>
      <c r="AK55" s="100" t="inlineStr">
        <is>
          <t>-</t>
        </is>
      </c>
      <c r="AL55" s="100" t="inlineStr">
        <is>
          <t>-</t>
        </is>
      </c>
      <c r="AM55" s="100" t="inlineStr">
        <is>
          <t>-</t>
        </is>
      </c>
      <c r="AN55" s="100" t="inlineStr">
        <is>
          <t>-</t>
        </is>
      </c>
      <c r="AO55" s="100" t="inlineStr">
        <is>
          <t>-</t>
        </is>
      </c>
      <c r="AP55" s="100" t="inlineStr">
        <is>
          <t>-</t>
        </is>
      </c>
      <c r="AQ55" s="100" t="inlineStr">
        <is>
          <t>-</t>
        </is>
      </c>
      <c r="AR55" s="100" t="inlineStr">
        <is>
          <t>-</t>
        </is>
      </c>
      <c r="AS55" s="100" t="inlineStr">
        <is>
          <t>-</t>
        </is>
      </c>
      <c r="AT55" s="100" t="inlineStr">
        <is>
          <t>-</t>
        </is>
      </c>
      <c r="AU55" s="100" t="inlineStr">
        <is>
          <t>-</t>
        </is>
      </c>
      <c r="AV55" s="100" t="inlineStr">
        <is>
          <t>-</t>
        </is>
      </c>
      <c r="AW55" s="100" t="inlineStr">
        <is>
          <t>-</t>
        </is>
      </c>
      <c r="AX55" s="100" t="inlineStr">
        <is>
          <t>-</t>
        </is>
      </c>
      <c r="AY55" s="100" t="inlineStr">
        <is>
          <t>-</t>
        </is>
      </c>
      <c r="AZ55" s="100" t="inlineStr">
        <is>
          <t>-</t>
        </is>
      </c>
      <c r="BA55" s="100" t="inlineStr">
        <is>
          <t>-</t>
        </is>
      </c>
    </row>
    <row r="56" ht="60" customHeight="1">
      <c r="A56" s="5" t="inlineStr">
        <is>
          <t>AI-R51</t>
        </is>
      </c>
      <c r="B56" s="5" t="inlineStr">
        <is>
          <t>Liability for Harm Caused by AI Decisions</t>
        </is>
      </c>
      <c r="C56" s="100" t="inlineStr">
        <is>
          <t>-</t>
        </is>
      </c>
      <c r="D56" s="100" t="inlineStr">
        <is>
          <t>-</t>
        </is>
      </c>
      <c r="E56" s="6" t="inlineStr">
        <is>
          <t>08 IP and liability</t>
        </is>
      </c>
      <c r="F56" s="100" t="inlineStr">
        <is>
          <t>-</t>
        </is>
      </c>
      <c r="G56" s="100" t="inlineStr">
        <is>
          <t>-</t>
        </is>
      </c>
      <c r="H56" s="100" t="inlineStr">
        <is>
          <t>-</t>
        </is>
      </c>
      <c r="I56" s="100" t="inlineStr">
        <is>
          <t>-</t>
        </is>
      </c>
      <c r="J56" s="100" t="inlineStr">
        <is>
          <t>-</t>
        </is>
      </c>
      <c r="K56" s="100" t="inlineStr">
        <is>
          <t>-</t>
        </is>
      </c>
      <c r="L56" s="100" t="inlineStr">
        <is>
          <t>-</t>
        </is>
      </c>
      <c r="M56" s="100" t="inlineStr">
        <is>
          <t>-</t>
        </is>
      </c>
      <c r="N56" s="100" t="inlineStr">
        <is>
          <t>-</t>
        </is>
      </c>
      <c r="O56" s="100" t="inlineStr">
        <is>
          <t>-</t>
        </is>
      </c>
      <c r="P56" s="100" t="inlineStr">
        <is>
          <t>-</t>
        </is>
      </c>
      <c r="Q56" s="100" t="inlineStr">
        <is>
          <t>-</t>
        </is>
      </c>
      <c r="R56" s="100" t="inlineStr">
        <is>
          <t>-</t>
        </is>
      </c>
      <c r="S56" s="100" t="inlineStr">
        <is>
          <t>-</t>
        </is>
      </c>
      <c r="T56" s="100" t="inlineStr">
        <is>
          <t>-</t>
        </is>
      </c>
      <c r="U56" s="100" t="inlineStr">
        <is>
          <t>-</t>
        </is>
      </c>
      <c r="V56" s="100" t="inlineStr">
        <is>
          <t>-</t>
        </is>
      </c>
      <c r="W56" s="100" t="inlineStr">
        <is>
          <t>-</t>
        </is>
      </c>
      <c r="X56" s="100" t="inlineStr">
        <is>
          <t>-</t>
        </is>
      </c>
      <c r="Y56" s="100" t="inlineStr">
        <is>
          <t>-</t>
        </is>
      </c>
      <c r="Z56" s="100" t="inlineStr">
        <is>
          <t>-</t>
        </is>
      </c>
      <c r="AA56" s="100" t="inlineStr">
        <is>
          <t>-</t>
        </is>
      </c>
      <c r="AB56" s="100" t="inlineStr">
        <is>
          <t>-</t>
        </is>
      </c>
      <c r="AC56" s="100" t="inlineStr">
        <is>
          <t>-</t>
        </is>
      </c>
      <c r="AD56" s="100" t="inlineStr">
        <is>
          <t>-</t>
        </is>
      </c>
      <c r="AE56" s="100" t="inlineStr">
        <is>
          <t>-</t>
        </is>
      </c>
      <c r="AF56" s="100" t="inlineStr">
        <is>
          <t>-</t>
        </is>
      </c>
      <c r="AG56" s="100" t="inlineStr">
        <is>
          <t>-</t>
        </is>
      </c>
      <c r="AH56" s="100" t="inlineStr">
        <is>
          <t>-</t>
        </is>
      </c>
      <c r="AI56" s="100" t="inlineStr">
        <is>
          <t>-</t>
        </is>
      </c>
      <c r="AJ56" s="100" t="inlineStr">
        <is>
          <t>-</t>
        </is>
      </c>
      <c r="AK56" s="100" t="inlineStr">
        <is>
          <t>-</t>
        </is>
      </c>
      <c r="AL56" s="100" t="inlineStr">
        <is>
          <t>-</t>
        </is>
      </c>
      <c r="AM56" s="100" t="inlineStr">
        <is>
          <t>-</t>
        </is>
      </c>
      <c r="AN56" s="100" t="inlineStr">
        <is>
          <t>-</t>
        </is>
      </c>
      <c r="AO56" s="100" t="inlineStr">
        <is>
          <t>-</t>
        </is>
      </c>
      <c r="AP56" s="100" t="inlineStr">
        <is>
          <t>-</t>
        </is>
      </c>
      <c r="AQ56" s="100" t="inlineStr">
        <is>
          <t>-</t>
        </is>
      </c>
      <c r="AR56" s="100" t="inlineStr">
        <is>
          <t>-</t>
        </is>
      </c>
      <c r="AS56" s="100" t="inlineStr">
        <is>
          <t>-</t>
        </is>
      </c>
      <c r="AT56" s="100" t="inlineStr">
        <is>
          <t>-</t>
        </is>
      </c>
      <c r="AU56" s="100" t="inlineStr">
        <is>
          <t>-</t>
        </is>
      </c>
      <c r="AV56" s="100" t="inlineStr">
        <is>
          <t>-</t>
        </is>
      </c>
      <c r="AW56" s="100" t="inlineStr">
        <is>
          <t>-</t>
        </is>
      </c>
      <c r="AX56" s="100" t="inlineStr">
        <is>
          <t>-</t>
        </is>
      </c>
      <c r="AY56" s="100" t="inlineStr">
        <is>
          <t>-</t>
        </is>
      </c>
      <c r="AZ56" s="100" t="inlineStr">
        <is>
          <t>-</t>
        </is>
      </c>
      <c r="BA56" s="100" t="inlineStr">
        <is>
          <t>-</t>
        </is>
      </c>
    </row>
    <row r="57" ht="60" customHeight="1">
      <c r="A57" s="5" t="inlineStr">
        <is>
          <t>AI-R52</t>
        </is>
      </c>
      <c r="B57" s="5" t="inlineStr">
        <is>
          <t>Unmaintained Open-Source AI Components</t>
        </is>
      </c>
      <c r="C57" s="100" t="inlineStr">
        <is>
          <t>-</t>
        </is>
      </c>
      <c r="D57" s="100" t="inlineStr">
        <is>
          <t>-</t>
        </is>
      </c>
      <c r="E57" s="6" t="inlineStr">
        <is>
          <t>09 Open-source component risk</t>
        </is>
      </c>
      <c r="F57" s="100" t="inlineStr">
        <is>
          <t>-</t>
        </is>
      </c>
      <c r="G57" s="100" t="inlineStr">
        <is>
          <t>-</t>
        </is>
      </c>
      <c r="H57" s="100" t="inlineStr">
        <is>
          <t>-</t>
        </is>
      </c>
      <c r="I57" s="100" t="inlineStr">
        <is>
          <t>-</t>
        </is>
      </c>
      <c r="J57" s="100" t="inlineStr">
        <is>
          <t>-</t>
        </is>
      </c>
      <c r="K57" s="100" t="inlineStr">
        <is>
          <t>-</t>
        </is>
      </c>
      <c r="L57" s="100" t="inlineStr">
        <is>
          <t>-</t>
        </is>
      </c>
      <c r="M57" s="100" t="inlineStr">
        <is>
          <t>-</t>
        </is>
      </c>
      <c r="N57" s="100" t="inlineStr">
        <is>
          <t>-</t>
        </is>
      </c>
      <c r="O57" s="100" t="inlineStr">
        <is>
          <t>-</t>
        </is>
      </c>
      <c r="P57" s="100" t="inlineStr">
        <is>
          <t>-</t>
        </is>
      </c>
      <c r="Q57" s="100" t="inlineStr">
        <is>
          <t>-</t>
        </is>
      </c>
      <c r="R57" s="100" t="inlineStr">
        <is>
          <t>-</t>
        </is>
      </c>
      <c r="S57" s="100" t="inlineStr">
        <is>
          <t>-</t>
        </is>
      </c>
      <c r="T57" s="100" t="inlineStr">
        <is>
          <t>-</t>
        </is>
      </c>
      <c r="U57" s="100" t="inlineStr">
        <is>
          <t>-</t>
        </is>
      </c>
      <c r="V57" s="100" t="inlineStr">
        <is>
          <t>-</t>
        </is>
      </c>
      <c r="W57" s="100" t="inlineStr">
        <is>
          <t>-</t>
        </is>
      </c>
      <c r="X57" s="100" t="inlineStr">
        <is>
          <t>-</t>
        </is>
      </c>
      <c r="Y57" s="100" t="inlineStr">
        <is>
          <t>-</t>
        </is>
      </c>
      <c r="Z57" s="100" t="inlineStr">
        <is>
          <t>-</t>
        </is>
      </c>
      <c r="AA57" s="100" t="inlineStr">
        <is>
          <t>-</t>
        </is>
      </c>
      <c r="AB57" s="100" t="inlineStr">
        <is>
          <t>-</t>
        </is>
      </c>
      <c r="AC57" s="100" t="inlineStr">
        <is>
          <t>-</t>
        </is>
      </c>
      <c r="AD57" s="100" t="inlineStr">
        <is>
          <t>-</t>
        </is>
      </c>
      <c r="AE57" s="100" t="inlineStr">
        <is>
          <t>-</t>
        </is>
      </c>
      <c r="AF57" s="100" t="inlineStr">
        <is>
          <t>-</t>
        </is>
      </c>
      <c r="AG57" s="100" t="inlineStr">
        <is>
          <t>-</t>
        </is>
      </c>
      <c r="AH57" s="100" t="inlineStr">
        <is>
          <t>-</t>
        </is>
      </c>
      <c r="AI57" s="100" t="inlineStr">
        <is>
          <t>-</t>
        </is>
      </c>
      <c r="AJ57" s="100" t="inlineStr">
        <is>
          <t>-</t>
        </is>
      </c>
      <c r="AK57" s="100" t="inlineStr">
        <is>
          <t>-</t>
        </is>
      </c>
      <c r="AL57" s="100" t="inlineStr">
        <is>
          <t>-</t>
        </is>
      </c>
      <c r="AM57" s="100" t="inlineStr">
        <is>
          <t>-</t>
        </is>
      </c>
      <c r="AN57" s="100" t="inlineStr">
        <is>
          <t>-</t>
        </is>
      </c>
      <c r="AO57" s="100" t="inlineStr">
        <is>
          <t>-</t>
        </is>
      </c>
      <c r="AP57" s="100" t="inlineStr">
        <is>
          <t>-</t>
        </is>
      </c>
      <c r="AQ57" s="100" t="inlineStr">
        <is>
          <t>-</t>
        </is>
      </c>
      <c r="AR57" s="100" t="inlineStr">
        <is>
          <t>-</t>
        </is>
      </c>
      <c r="AS57" s="100" t="inlineStr">
        <is>
          <t>-</t>
        </is>
      </c>
      <c r="AT57" s="100" t="inlineStr">
        <is>
          <t>-</t>
        </is>
      </c>
      <c r="AU57" s="100" t="inlineStr">
        <is>
          <t>-</t>
        </is>
      </c>
      <c r="AV57" s="100" t="inlineStr">
        <is>
          <t>-</t>
        </is>
      </c>
      <c r="AW57" s="100" t="inlineStr">
        <is>
          <t>-</t>
        </is>
      </c>
      <c r="AX57" s="100" t="inlineStr">
        <is>
          <t>-</t>
        </is>
      </c>
      <c r="AY57" s="100" t="inlineStr">
        <is>
          <t>-</t>
        </is>
      </c>
      <c r="AZ57" s="100" t="inlineStr">
        <is>
          <t>-</t>
        </is>
      </c>
      <c r="BA57" s="100" t="inlineStr">
        <is>
          <t>-</t>
        </is>
      </c>
    </row>
    <row r="58" ht="60" customHeight="1">
      <c r="A58" s="5" t="inlineStr">
        <is>
          <t>AI-R53</t>
        </is>
      </c>
      <c r="B58" s="5" t="inlineStr">
        <is>
          <t>Unlabelled AI-Generated Content</t>
        </is>
      </c>
      <c r="C58" s="100" t="inlineStr">
        <is>
          <t>-</t>
        </is>
      </c>
      <c r="D58" s="100" t="inlineStr">
        <is>
          <t>-</t>
        </is>
      </c>
      <c r="E58" s="6" t="inlineStr">
        <is>
          <t>06 Transparency, disclosure and provenance</t>
        </is>
      </c>
      <c r="F58" s="100" t="inlineStr">
        <is>
          <t>-</t>
        </is>
      </c>
      <c r="G58" s="100" t="inlineStr">
        <is>
          <t>-</t>
        </is>
      </c>
      <c r="H58" s="100" t="inlineStr">
        <is>
          <t>-</t>
        </is>
      </c>
      <c r="I58" s="100" t="inlineStr">
        <is>
          <t>-</t>
        </is>
      </c>
      <c r="J58" s="100" t="inlineStr">
        <is>
          <t>-</t>
        </is>
      </c>
      <c r="K58" s="100" t="inlineStr">
        <is>
          <t>-</t>
        </is>
      </c>
      <c r="L58" s="100" t="inlineStr">
        <is>
          <t>-</t>
        </is>
      </c>
      <c r="M58" s="100" t="inlineStr">
        <is>
          <t>-</t>
        </is>
      </c>
      <c r="N58" s="100" t="inlineStr">
        <is>
          <t>-</t>
        </is>
      </c>
      <c r="O58" s="100" t="inlineStr">
        <is>
          <t>-</t>
        </is>
      </c>
      <c r="P58" s="100" t="inlineStr">
        <is>
          <t>-</t>
        </is>
      </c>
      <c r="Q58" s="100" t="inlineStr">
        <is>
          <t>-</t>
        </is>
      </c>
      <c r="R58" s="100" t="inlineStr">
        <is>
          <t>-</t>
        </is>
      </c>
      <c r="S58" s="100" t="inlineStr">
        <is>
          <t>-</t>
        </is>
      </c>
      <c r="T58" s="100" t="inlineStr">
        <is>
          <t>-</t>
        </is>
      </c>
      <c r="U58" s="100" t="inlineStr">
        <is>
          <t>-</t>
        </is>
      </c>
      <c r="V58" s="100" t="inlineStr">
        <is>
          <t>-</t>
        </is>
      </c>
      <c r="W58" s="100" t="inlineStr">
        <is>
          <t>-</t>
        </is>
      </c>
      <c r="X58" s="100" t="inlineStr">
        <is>
          <t>-</t>
        </is>
      </c>
      <c r="Y58" s="100" t="inlineStr">
        <is>
          <t>-</t>
        </is>
      </c>
      <c r="Z58" s="100" t="inlineStr">
        <is>
          <t>-</t>
        </is>
      </c>
      <c r="AA58" s="100" t="inlineStr">
        <is>
          <t>-</t>
        </is>
      </c>
      <c r="AB58" s="100" t="inlineStr">
        <is>
          <t>-</t>
        </is>
      </c>
      <c r="AC58" s="100" t="inlineStr">
        <is>
          <t>-</t>
        </is>
      </c>
      <c r="AD58" s="100" t="inlineStr">
        <is>
          <t>-</t>
        </is>
      </c>
      <c r="AE58" s="100" t="inlineStr">
        <is>
          <t>-</t>
        </is>
      </c>
      <c r="AF58" s="100" t="inlineStr">
        <is>
          <t>-</t>
        </is>
      </c>
      <c r="AG58" s="100" t="inlineStr">
        <is>
          <t>-</t>
        </is>
      </c>
      <c r="AH58" s="100" t="inlineStr">
        <is>
          <t>-</t>
        </is>
      </c>
      <c r="AI58" s="100" t="inlineStr">
        <is>
          <t>-</t>
        </is>
      </c>
      <c r="AJ58" s="100" t="inlineStr">
        <is>
          <t>-</t>
        </is>
      </c>
      <c r="AK58" s="100" t="inlineStr">
        <is>
          <t>-</t>
        </is>
      </c>
      <c r="AL58" s="100" t="inlineStr">
        <is>
          <t>-</t>
        </is>
      </c>
      <c r="AM58" s="100" t="inlineStr">
        <is>
          <t>-</t>
        </is>
      </c>
      <c r="AN58" s="100" t="inlineStr">
        <is>
          <t>-</t>
        </is>
      </c>
      <c r="AO58" s="100" t="inlineStr">
        <is>
          <t>-</t>
        </is>
      </c>
      <c r="AP58" s="100" t="inlineStr">
        <is>
          <t>-</t>
        </is>
      </c>
      <c r="AQ58" s="100" t="inlineStr">
        <is>
          <t>-</t>
        </is>
      </c>
      <c r="AR58" s="100" t="inlineStr">
        <is>
          <t>-</t>
        </is>
      </c>
      <c r="AS58" s="100" t="inlineStr">
        <is>
          <t>-</t>
        </is>
      </c>
      <c r="AT58" s="100" t="inlineStr">
        <is>
          <t>-</t>
        </is>
      </c>
      <c r="AU58" s="100" t="inlineStr">
        <is>
          <t>-</t>
        </is>
      </c>
      <c r="AV58" s="100" t="inlineStr">
        <is>
          <t>-</t>
        </is>
      </c>
      <c r="AW58" s="100" t="inlineStr">
        <is>
          <t>-</t>
        </is>
      </c>
      <c r="AX58" s="100" t="inlineStr">
        <is>
          <t>-</t>
        </is>
      </c>
      <c r="AY58" s="100" t="inlineStr">
        <is>
          <t>-</t>
        </is>
      </c>
      <c r="AZ58" s="100" t="inlineStr">
        <is>
          <t>-</t>
        </is>
      </c>
      <c r="BA58" s="100" t="inlineStr">
        <is>
          <t>-</t>
        </is>
      </c>
    </row>
    <row r="59" ht="60" customHeight="1">
      <c r="A59" s="5" t="inlineStr">
        <is>
          <t>AI-R54</t>
        </is>
      </c>
      <c r="B59" s="5" t="inlineStr">
        <is>
          <t>Agent Actions Others Cannot Identify as AI</t>
        </is>
      </c>
      <c r="C59" s="100" t="inlineStr">
        <is>
          <t>-</t>
        </is>
      </c>
      <c r="D59" s="100" t="inlineStr">
        <is>
          <t>-</t>
        </is>
      </c>
      <c r="E59" s="6" t="inlineStr">
        <is>
          <t>12 Action integrity and traceability</t>
        </is>
      </c>
      <c r="F59" s="100" t="inlineStr">
        <is>
          <t>-</t>
        </is>
      </c>
      <c r="G59" s="100" t="inlineStr">
        <is>
          <t>-</t>
        </is>
      </c>
      <c r="H59" s="100" t="inlineStr">
        <is>
          <t>-</t>
        </is>
      </c>
      <c r="I59" s="100" t="inlineStr">
        <is>
          <t>-</t>
        </is>
      </c>
      <c r="J59" s="100" t="inlineStr">
        <is>
          <t>-</t>
        </is>
      </c>
      <c r="K59" s="100" t="inlineStr">
        <is>
          <t>-</t>
        </is>
      </c>
      <c r="L59" s="100" t="inlineStr">
        <is>
          <t>-</t>
        </is>
      </c>
      <c r="M59" s="100" t="inlineStr">
        <is>
          <t>-</t>
        </is>
      </c>
      <c r="N59" s="100" t="inlineStr">
        <is>
          <t>-</t>
        </is>
      </c>
      <c r="O59" s="100" t="inlineStr">
        <is>
          <t>-</t>
        </is>
      </c>
      <c r="P59" s="100" t="inlineStr">
        <is>
          <t>-</t>
        </is>
      </c>
      <c r="Q59" s="100" t="inlineStr">
        <is>
          <t>-</t>
        </is>
      </c>
      <c r="R59" s="100" t="inlineStr">
        <is>
          <t>-</t>
        </is>
      </c>
      <c r="S59" s="100" t="inlineStr">
        <is>
          <t>-</t>
        </is>
      </c>
      <c r="T59" s="100" t="inlineStr">
        <is>
          <t>-</t>
        </is>
      </c>
      <c r="U59" s="100" t="inlineStr">
        <is>
          <t>-</t>
        </is>
      </c>
      <c r="V59" s="100" t="inlineStr">
        <is>
          <t>-</t>
        </is>
      </c>
      <c r="W59" s="100" t="inlineStr">
        <is>
          <t>-</t>
        </is>
      </c>
      <c r="X59" s="100" t="inlineStr">
        <is>
          <t>-</t>
        </is>
      </c>
      <c r="Y59" s="100" t="inlineStr">
        <is>
          <t>-</t>
        </is>
      </c>
      <c r="Z59" s="100" t="inlineStr">
        <is>
          <t>-</t>
        </is>
      </c>
      <c r="AA59" s="100" t="inlineStr">
        <is>
          <t>-</t>
        </is>
      </c>
      <c r="AB59" s="100" t="inlineStr">
        <is>
          <t>-</t>
        </is>
      </c>
      <c r="AC59" s="100" t="inlineStr">
        <is>
          <t>-</t>
        </is>
      </c>
      <c r="AD59" s="100" t="inlineStr">
        <is>
          <t>-</t>
        </is>
      </c>
      <c r="AE59" s="100" t="inlineStr">
        <is>
          <t>-</t>
        </is>
      </c>
      <c r="AF59" s="100" t="inlineStr">
        <is>
          <t>-</t>
        </is>
      </c>
      <c r="AG59" s="100" t="inlineStr">
        <is>
          <t>-</t>
        </is>
      </c>
      <c r="AH59" s="100" t="inlineStr">
        <is>
          <t>-</t>
        </is>
      </c>
      <c r="AI59" s="100" t="inlineStr">
        <is>
          <t>-</t>
        </is>
      </c>
      <c r="AJ59" s="100" t="inlineStr">
        <is>
          <t>-</t>
        </is>
      </c>
      <c r="AK59" s="100" t="inlineStr">
        <is>
          <t>-</t>
        </is>
      </c>
      <c r="AL59" s="100" t="inlineStr">
        <is>
          <t>-</t>
        </is>
      </c>
      <c r="AM59" s="100" t="inlineStr">
        <is>
          <t>-</t>
        </is>
      </c>
      <c r="AN59" s="100" t="inlineStr">
        <is>
          <t>-</t>
        </is>
      </c>
      <c r="AO59" s="100" t="inlineStr">
        <is>
          <t>-</t>
        </is>
      </c>
      <c r="AP59" s="100" t="inlineStr">
        <is>
          <t>-</t>
        </is>
      </c>
      <c r="AQ59" s="100" t="inlineStr">
        <is>
          <t>-</t>
        </is>
      </c>
      <c r="AR59" s="100" t="inlineStr">
        <is>
          <t>-</t>
        </is>
      </c>
      <c r="AS59" s="100" t="inlineStr">
        <is>
          <t>-</t>
        </is>
      </c>
      <c r="AT59" s="100" t="inlineStr">
        <is>
          <t>-</t>
        </is>
      </c>
      <c r="AU59" s="100" t="inlineStr">
        <is>
          <t>-</t>
        </is>
      </c>
      <c r="AV59" s="100" t="inlineStr">
        <is>
          <t>-</t>
        </is>
      </c>
      <c r="AW59" s="100" t="inlineStr">
        <is>
          <t>-</t>
        </is>
      </c>
      <c r="AX59" s="100" t="inlineStr">
        <is>
          <t>-</t>
        </is>
      </c>
      <c r="AY59" s="100" t="inlineStr">
        <is>
          <t>-</t>
        </is>
      </c>
      <c r="AZ59" s="100" t="inlineStr">
        <is>
          <t>-</t>
        </is>
      </c>
      <c r="BA59" s="100" t="inlineStr">
        <is>
          <t>-</t>
        </is>
      </c>
    </row>
    <row r="60" ht="60" customHeight="1">
      <c r="A60" s="5" t="inlineStr">
        <is>
          <t>AI-R55</t>
        </is>
      </c>
      <c r="B60" s="5" t="inlineStr">
        <is>
          <t>AI-Accelerated Exploitation and Patch Gap</t>
        </is>
      </c>
      <c r="C60" s="100" t="inlineStr">
        <is>
          <t>-</t>
        </is>
      </c>
      <c r="D60" s="6" t="inlineStr">
        <is>
          <t>AIR-PREV-005; AIR-PREV-022</t>
        </is>
      </c>
      <c r="E60" s="100" t="inlineStr">
        <is>
          <t>-</t>
        </is>
      </c>
      <c r="F60" s="6" t="inlineStr">
        <is>
          <t>GOVERN 1.3; GOVERN 4.2; MAP 1.5; MEASURE 2.7; MANAGE 1.1; MANAGE 1.2; MANAGE 1.3; MANAGE 1.4; MANAGE 2.3; MANAGE 2.4</t>
        </is>
      </c>
      <c r="G60" s="100" t="inlineStr">
        <is>
          <t>-</t>
        </is>
      </c>
      <c r="H60" s="6" t="inlineStr">
        <is>
          <t>GV.4; RG.4</t>
        </is>
      </c>
      <c r="I60" s="6" t="inlineStr">
        <is>
          <t>LLM06:2025</t>
        </is>
      </c>
      <c r="J60" s="6" t="inlineStr">
        <is>
          <t>ASI05; ASI08; ASI10</t>
        </is>
      </c>
      <c r="K60" s="100" t="inlineStr">
        <is>
          <t>-</t>
        </is>
      </c>
      <c r="L60" s="6" t="inlineStr">
        <is>
          <t>AML.T0034; AML.T0050; AML.T0053; AML.T0102; AML.T0105</t>
        </is>
      </c>
      <c r="M60" s="6" t="inlineStr">
        <is>
          <t>AML.M0011; AML.M0032; AML.M0036; AML.M0037</t>
        </is>
      </c>
      <c r="N60" s="6" t="inlineStr">
        <is>
          <t>NISTAML.039; 3.5 Security of agents</t>
        </is>
      </c>
      <c r="O60" s="6" t="inlineStr">
        <is>
          <t>A.4.5; A.5.2; A.6.1.2; A.6.1.3; A.6.2.2; A.6.2.4; A.6.2.5; A.6.2.6</t>
        </is>
      </c>
      <c r="P60" s="6" t="inlineStr">
        <is>
          <t>Clause 6.1.2; Clause 6.1.3</t>
        </is>
      </c>
      <c r="Q60" s="6" t="inlineStr">
        <is>
          <t>A.5.8; A.5.18; A.5.26; A.8.22; A.8.25; A.8.27; A.8.29; A.8.31; A.8.32</t>
        </is>
      </c>
      <c r="R60" s="6" t="inlineStr">
        <is>
          <t>Clause 6.1.2; Clause 6.1.3</t>
        </is>
      </c>
      <c r="S60" s="100" t="inlineStr">
        <is>
          <t>-</t>
        </is>
      </c>
      <c r="T60" s="100" t="inlineStr">
        <is>
          <t>-</t>
        </is>
      </c>
      <c r="U60" s="100" t="inlineStr">
        <is>
          <t>-</t>
        </is>
      </c>
      <c r="V60" s="6" t="inlineStr">
        <is>
          <t>Risk (appetite, management, objectives, sourc</t>
        </is>
      </c>
      <c r="W60" s="6" t="inlineStr">
        <is>
          <t>Controllability, including human-in-the-loop ; Testing and evaluation</t>
        </is>
      </c>
      <c r="X60" s="6" t="inlineStr">
        <is>
          <t>6.3.4, 6.3.5; 6.4.11, 6.4.13</t>
        </is>
      </c>
      <c r="Y60" s="100" t="inlineStr">
        <is>
          <t>-</t>
        </is>
      </c>
      <c r="Z60" s="100" t="inlineStr">
        <is>
          <t>-</t>
        </is>
      </c>
      <c r="AA60" s="100" t="inlineStr">
        <is>
          <t>-</t>
        </is>
      </c>
      <c r="AB60" s="6" t="inlineStr">
        <is>
          <t>GV.RM; ID.RA; PR.PS; PR.IR; RS.MA; RS.MI</t>
        </is>
      </c>
      <c r="AC60" s="6" t="inlineStr">
        <is>
          <t>CIS 4; CIS 6; CIS 12; CIS 16; CIS 17</t>
        </is>
      </c>
      <c r="AD60" s="6" t="inlineStr">
        <is>
          <t>CC3.1; CC3.2; CC3.4; CC6.2; CC6.6; CC6.8; CC7.4; CC8.1; CC9.1</t>
        </is>
      </c>
      <c r="AE60" s="6" t="inlineStr">
        <is>
          <t>PO.1; PO.4; PO.5; PW.1; PW.2; PW.7; RV.2</t>
        </is>
      </c>
      <c r="AF60" s="6" t="inlineStr">
        <is>
          <t>6.2.3 and 6.2.3.1 (code review); 6.5.1, with 6.2.4 (change procedures); Targeted risk analysis (not numbered in th...; Penetration and segmentation testing (not ...; Vulnerability scanning (not numbered; 11.3...</t>
        </is>
      </c>
      <c r="AG60" s="6" t="inlineStr">
        <is>
          <t>Requirements, scoping and threat modelling; Evaluation of deployment controls; Access and containment; Human in the loop or over the loop; Account data given to AI; Categorising AI system risk; Cleartext card data (Example 4); Continuous monitoring and rapid triage; Computationally infeasible controls; Minimise blast radius</t>
        </is>
      </c>
      <c r="AH60" s="6" t="inlineStr">
        <is>
          <t>Principle 1.4; Principle 1.5</t>
        </is>
      </c>
      <c r="AI60" s="6" t="inlineStr">
        <is>
          <t>Human agency and oversight; Accountability</t>
        </is>
      </c>
      <c r="AJ60" s="6" t="inlineStr">
        <is>
          <t>Proportionality and do no harm</t>
        </is>
      </c>
      <c r="AK60" s="6" t="inlineStr">
        <is>
          <t>IEEE 7000-2021</t>
        </is>
      </c>
      <c r="AL60" s="6" t="inlineStr">
        <is>
          <t>Art. 16</t>
        </is>
      </c>
      <c r="AM60" s="6" t="inlineStr">
        <is>
          <t>Action 1; Action 5</t>
        </is>
      </c>
      <c r="AN60" s="100" t="inlineStr">
        <is>
          <t>-</t>
        </is>
      </c>
      <c r="AO60" s="6" t="inlineStr">
        <is>
          <t>U9; S5; Q4; O1</t>
        </is>
      </c>
      <c r="AP60" s="6" t="inlineStr">
        <is>
          <t>E1c; E8; E17</t>
        </is>
      </c>
      <c r="AQ60" s="6" t="inlineStr">
        <is>
          <t>UK5; UK6; UK13</t>
        </is>
      </c>
      <c r="AR60" s="6" t="inlineStr">
        <is>
          <t>US5; US8; US12; US15; US16</t>
        </is>
      </c>
      <c r="AS60" s="6" t="inlineStr">
        <is>
          <t>AU4</t>
        </is>
      </c>
      <c r="AT60" s="6" t="inlineStr">
        <is>
          <t>BR1</t>
        </is>
      </c>
      <c r="AU60" s="6" t="inlineStr">
        <is>
          <t>CA4; CA6</t>
        </is>
      </c>
      <c r="AV60" s="6" t="inlineStr">
        <is>
          <t>CN5</t>
        </is>
      </c>
      <c r="AW60" s="6" t="inlineStr">
        <is>
          <t>IN5; IN6; IN13</t>
        </is>
      </c>
      <c r="AX60" s="6" t="inlineStr">
        <is>
          <t>JP3; JP6</t>
        </is>
      </c>
      <c r="AY60" s="6" t="inlineStr">
        <is>
          <t>SG1; SG2; SG5; SG7; MAS 1.6, 2.1 to 2.2; MAS 3.1 to 3.4; MAS 4.10 to 4.13; MAS 5.3; MAS 5.12 to 5.13; MAS 5.18 to 5.21; MAS 5.22; MAS 5.25</t>
        </is>
      </c>
      <c r="AZ60" s="6" t="inlineStr">
        <is>
          <t>KR3; KR4</t>
        </is>
      </c>
      <c r="BA60" s="6" t="inlineStr">
        <is>
          <t>HK1; HK9; Board and senior management accountability: t; Risk-commensurate management: materiality and</t>
        </is>
      </c>
    </row>
    <row r="61">
      <c r="B61" s="47" t="inlineStr">
        <is>
          <t>Items linked (count)</t>
        </is>
      </c>
      <c r="C61" s="21">
        <f>COUNTIF(C6:C60,"&lt;&gt;-")</f>
        <v/>
      </c>
      <c r="D61" s="21">
        <f>COUNTIF(D6:D60,"&lt;&gt;-")</f>
        <v/>
      </c>
      <c r="E61" s="21">
        <f>COUNTIF(E6:E60,"&lt;&gt;-")</f>
        <v/>
      </c>
      <c r="F61" s="21">
        <f>COUNTIF(F6:F60,"&lt;&gt;-")</f>
        <v/>
      </c>
      <c r="G61" s="21">
        <f>COUNTIF(G6:G60,"&lt;&gt;-")</f>
        <v/>
      </c>
      <c r="H61" s="21">
        <f>COUNTIF(H6:H60,"&lt;&gt;-")</f>
        <v/>
      </c>
      <c r="I61" s="21">
        <f>COUNTIF(I6:I60,"&lt;&gt;-")</f>
        <v/>
      </c>
      <c r="J61" s="21">
        <f>COUNTIF(J6:J60,"&lt;&gt;-")</f>
        <v/>
      </c>
      <c r="K61" s="21">
        <f>COUNTIF(K6:K60,"&lt;&gt;-")</f>
        <v/>
      </c>
      <c r="L61" s="21">
        <f>COUNTIF(L6:L60,"&lt;&gt;-")</f>
        <v/>
      </c>
      <c r="M61" s="21">
        <f>COUNTIF(M6:M60,"&lt;&gt;-")</f>
        <v/>
      </c>
      <c r="N61" s="21">
        <f>COUNTIF(N6:N60,"&lt;&gt;-")</f>
        <v/>
      </c>
      <c r="O61" s="21">
        <f>COUNTIF(O6:O60,"&lt;&gt;-")</f>
        <v/>
      </c>
      <c r="P61" s="21">
        <f>COUNTIF(P6:P60,"&lt;&gt;-")</f>
        <v/>
      </c>
      <c r="Q61" s="21">
        <f>COUNTIF(Q6:Q60,"&lt;&gt;-")</f>
        <v/>
      </c>
      <c r="R61" s="21">
        <f>COUNTIF(R6:R60,"&lt;&gt;-")</f>
        <v/>
      </c>
      <c r="S61" s="21">
        <f>COUNTIF(S6:S60,"&lt;&gt;-")</f>
        <v/>
      </c>
      <c r="T61" s="21">
        <f>COUNTIF(T6:T60,"&lt;&gt;-")</f>
        <v/>
      </c>
      <c r="U61" s="21">
        <f>COUNTIF(U6:U60,"&lt;&gt;-")</f>
        <v/>
      </c>
      <c r="V61" s="21">
        <f>COUNTIF(V6:V60,"&lt;&gt;-")</f>
        <v/>
      </c>
      <c r="W61" s="21">
        <f>COUNTIF(W6:W60,"&lt;&gt;-")</f>
        <v/>
      </c>
      <c r="X61" s="21">
        <f>COUNTIF(X6:X60,"&lt;&gt;-")</f>
        <v/>
      </c>
      <c r="Y61" s="21">
        <f>COUNTIF(Y6:Y60,"&lt;&gt;-")</f>
        <v/>
      </c>
      <c r="Z61" s="21">
        <f>COUNTIF(Z6:Z60,"&lt;&gt;-")</f>
        <v/>
      </c>
      <c r="AA61" s="21">
        <f>COUNTIF(AA6:AA60,"&lt;&gt;-")</f>
        <v/>
      </c>
      <c r="AB61" s="21">
        <f>COUNTIF(AB6:AB60,"&lt;&gt;-")</f>
        <v/>
      </c>
      <c r="AC61" s="21">
        <f>COUNTIF(AC6:AC60,"&lt;&gt;-")</f>
        <v/>
      </c>
      <c r="AD61" s="21">
        <f>COUNTIF(AD6:AD60,"&lt;&gt;-")</f>
        <v/>
      </c>
      <c r="AE61" s="21">
        <f>COUNTIF(AE6:AE60,"&lt;&gt;-")</f>
        <v/>
      </c>
      <c r="AF61" s="21">
        <f>COUNTIF(AF6:AF60,"&lt;&gt;-")</f>
        <v/>
      </c>
      <c r="AG61" s="21">
        <f>COUNTIF(AG6:AG60,"&lt;&gt;-")</f>
        <v/>
      </c>
      <c r="AH61" s="21">
        <f>COUNTIF(AH6:AH60,"&lt;&gt;-")</f>
        <v/>
      </c>
      <c r="AI61" s="21">
        <f>COUNTIF(AI6:AI60,"&lt;&gt;-")</f>
        <v/>
      </c>
      <c r="AJ61" s="21">
        <f>COUNTIF(AJ6:AJ60,"&lt;&gt;-")</f>
        <v/>
      </c>
      <c r="AK61" s="21">
        <f>COUNTIF(AK6:AK60,"&lt;&gt;-")</f>
        <v/>
      </c>
      <c r="AL61" s="21">
        <f>COUNTIF(AL6:AL60,"&lt;&gt;-")</f>
        <v/>
      </c>
      <c r="AM61" s="21">
        <f>COUNTIF(AM6:AM60,"&lt;&gt;-")</f>
        <v/>
      </c>
      <c r="AN61" s="21">
        <f>COUNTIF(AN6:AN60,"&lt;&gt;-")</f>
        <v/>
      </c>
      <c r="AO61" s="21">
        <f>COUNTIF(AO6:AO60,"&lt;&gt;-")</f>
        <v/>
      </c>
      <c r="AP61" s="21">
        <f>COUNTIF(AP6:AP60,"&lt;&gt;-")</f>
        <v/>
      </c>
      <c r="AQ61" s="21">
        <f>COUNTIF(AQ6:AQ60,"&lt;&gt;-")</f>
        <v/>
      </c>
      <c r="AR61" s="21">
        <f>COUNTIF(AR6:AR60,"&lt;&gt;-")</f>
        <v/>
      </c>
      <c r="AS61" s="21">
        <f>COUNTIF(AS6:AS60,"&lt;&gt;-")</f>
        <v/>
      </c>
      <c r="AT61" s="21">
        <f>COUNTIF(AT6:AT60,"&lt;&gt;-")</f>
        <v/>
      </c>
      <c r="AU61" s="21">
        <f>COUNTIF(AU6:AU60,"&lt;&gt;-")</f>
        <v/>
      </c>
      <c r="AV61" s="21">
        <f>COUNTIF(AV6:AV60,"&lt;&gt;-")</f>
        <v/>
      </c>
      <c r="AW61" s="21">
        <f>COUNTIF(AW6:AW60,"&lt;&gt;-")</f>
        <v/>
      </c>
      <c r="AX61" s="21">
        <f>COUNTIF(AX6:AX60,"&lt;&gt;-")</f>
        <v/>
      </c>
      <c r="AY61" s="21">
        <f>COUNTIF(AY6:AY60,"&lt;&gt;-")</f>
        <v/>
      </c>
      <c r="AZ61" s="21">
        <f>COUNTIF(AZ6:AZ60,"&lt;&gt;-")</f>
        <v/>
      </c>
      <c r="BA61" s="21">
        <f>COUNTIF(BA6:BA60,"&lt;&gt;-")</f>
        <v/>
      </c>
    </row>
    <row r="62">
      <c r="B62" s="154" t="inlineStr">
        <is>
          <t>Read as: number of register risks with at least one link to that framework.</t>
        </is>
      </c>
    </row>
  </sheetData>
  <conditionalFormatting sqref="C6:BA60">
    <cfRule type="cellIs" priority="1" operator="equal" dxfId="27">
      <formula>"-"</formula>
    </cfRule>
  </conditionalFormatting>
  <pageMargins left="0.75" right="0.75" top="1" bottom="1" header="0.5" footer="0.5"/>
</worksheet>
</file>

<file path=xl/worksheets/sheet12.xml><?xml version="1.0" encoding="utf-8"?>
<worksheet xmlns="http://schemas.openxmlformats.org/spreadsheetml/2006/main">
  <sheetPr>
    <tabColor rgb="00203864"/>
    <outlinePr summaryBelow="1" summaryRight="1"/>
    <pageSetUpPr/>
  </sheetPr>
  <dimension ref="A1:K781"/>
  <sheetViews>
    <sheetView showGridLines="0" workbookViewId="0">
      <pane xSplit="4" ySplit="4" topLeftCell="E5" activePane="bottomRight" state="frozen"/>
      <selection pane="topRight"/>
      <selection pane="bottomLeft"/>
      <selection pane="bottomRight" activeCell="A1" sqref="A1"/>
    </sheetView>
  </sheetViews>
  <sheetFormatPr baseColWidth="8" defaultRowHeight="15"/>
  <cols>
    <col width="20" customWidth="1" min="1" max="1"/>
    <col width="28" customWidth="1" min="2" max="2"/>
    <col width="30" customWidth="1" min="3" max="3"/>
    <col width="18" customWidth="1" min="4" max="4"/>
    <col width="44" customWidth="1" min="5" max="5"/>
    <col width="34" customWidth="1" min="6" max="6"/>
    <col width="34" customWidth="1" min="7" max="7"/>
    <col width="22" customWidth="1" min="8" max="8"/>
    <col width="12" customWidth="1" min="9" max="9"/>
    <col width="60" customWidth="1" min="10" max="10"/>
    <col width="30" customWidth="1" min="11" max="11"/>
  </cols>
  <sheetData>
    <row r="1" ht="30" customHeight="1">
      <c r="A1" s="155" t="inlineStr">
        <is>
          <t>Framework crosswalk: every wiki crosswalk item linked to wiki controls and register risks</t>
        </is>
      </c>
      <c r="B1" s="156" t="n"/>
      <c r="C1" s="156" t="n"/>
      <c r="D1" s="156" t="n"/>
      <c r="E1" s="156" t="n"/>
      <c r="F1" s="156" t="n"/>
      <c r="G1" s="156" t="n"/>
      <c r="H1" s="156" t="n"/>
      <c r="I1" s="156" t="n"/>
      <c r="J1" s="156" t="n"/>
      <c r="K1" s="156" t="n"/>
    </row>
    <row r="2">
      <c r="A2" s="3" t="inlineStr">
        <is>
          <t>Source: the 19 pages under Framework Crosswalks in the AI Security Wiki. Item names are short titles; read each framework for its text. Filter on Framework.</t>
        </is>
      </c>
    </row>
    <row r="3"/>
    <row r="4">
      <c r="A4" s="152" t="inlineStr">
        <is>
          <t>Category</t>
        </is>
      </c>
      <c r="B4" s="152" t="inlineStr">
        <is>
          <t>Framework</t>
        </is>
      </c>
      <c r="C4" s="152" t="inlineStr">
        <is>
          <t>Section (wiki table)</t>
        </is>
      </c>
      <c r="D4" s="152" t="inlineStr">
        <is>
          <t>Item</t>
        </is>
      </c>
      <c r="E4" s="152" t="inlineStr">
        <is>
          <t>Name / description</t>
        </is>
      </c>
      <c r="F4" s="152" t="inlineStr">
        <is>
          <t>Wiki controls</t>
        </is>
      </c>
      <c r="G4" s="152" t="inlineStr">
        <is>
          <t>Register risks</t>
        </is>
      </c>
      <c r="H4" s="152" t="inlineStr">
        <is>
          <t>How risks were linked</t>
        </is>
      </c>
      <c r="I4" s="152" t="inlineStr">
        <is>
          <t>Match (wiki)</t>
        </is>
      </c>
      <c r="J4" s="152" t="inlineStr">
        <is>
          <t>Other details (wiki)</t>
        </is>
      </c>
      <c r="K4" s="152" t="inlineStr">
        <is>
          <t>Source page</t>
        </is>
      </c>
    </row>
    <row r="5">
      <c r="A5" s="6" t="inlineStr">
        <is>
          <t>Risk frameworks</t>
        </is>
      </c>
      <c r="B5" s="6" t="inlineStr">
        <is>
          <t>FINOS AIGF risks</t>
        </is>
      </c>
      <c r="C5" s="6" t="inlineStr">
        <is>
          <t>FINOS risks to wiki risks</t>
        </is>
      </c>
      <c r="D5" s="6" t="inlineStr">
        <is>
          <t>AIR-OP-004</t>
        </is>
      </c>
      <c r="E5" s="6" t="inlineStr">
        <is>
          <t>Hallucination and Inaccurate Outputs</t>
        </is>
      </c>
      <c r="F5" s="6" t="inlineStr">
        <is>
          <t>None</t>
        </is>
      </c>
      <c r="G5" s="6" t="inlineStr">
        <is>
          <t>AI-R12</t>
        </is>
      </c>
      <c r="H5" s="6" t="inlineStr">
        <is>
          <t>Wiki maps risks directly</t>
        </is>
      </c>
      <c r="I5" s="6" t="inlineStr">
        <is>
          <t>Direct</t>
        </is>
      </c>
      <c r="J5" s="6" t="inlineStr">
        <is>
          <t>FINOS status: Approved; Wiki risks: AI-R12; EU AI Act (per FINOS): Art. 15, Art. 13, Art. 9</t>
        </is>
      </c>
      <c r="K5" s="6" t="inlineStr">
        <is>
          <t>https://nachi065.github.io/AI-Security-Wiki/23_Framework_Crosswalks/01_FINOS_AIGF_Crosswalk.html</t>
        </is>
      </c>
    </row>
    <row r="6">
      <c r="A6" s="157" t="inlineStr">
        <is>
          <t>Risk frameworks</t>
        </is>
      </c>
      <c r="B6" s="157" t="inlineStr">
        <is>
          <t>FINOS AIGF risks</t>
        </is>
      </c>
      <c r="C6" s="157" t="inlineStr">
        <is>
          <t>FINOS risks to wiki risks</t>
        </is>
      </c>
      <c r="D6" s="157" t="inlineStr">
        <is>
          <t>AIR-OP-005</t>
        </is>
      </c>
      <c r="E6" s="157" t="inlineStr">
        <is>
          <t>Foundation Model Versioning</t>
        </is>
      </c>
      <c r="F6" s="157" t="inlineStr">
        <is>
          <t>None</t>
        </is>
      </c>
      <c r="G6" s="157" t="inlineStr">
        <is>
          <t>AI-R16</t>
        </is>
      </c>
      <c r="H6" s="157" t="inlineStr">
        <is>
          <t>Wiki maps risks directly</t>
        </is>
      </c>
      <c r="I6" s="157" t="inlineStr">
        <is>
          <t>Direct</t>
        </is>
      </c>
      <c r="J6" s="157" t="inlineStr">
        <is>
          <t>FINOS status: Approved; Wiki risks: AI-R16; EU AI Act (per FINOS): Art. 9, Art. 15, Art. 53</t>
        </is>
      </c>
      <c r="K6" s="157" t="inlineStr">
        <is>
          <t>https://nachi065.github.io/AI-Security-Wiki/23_Framework_Crosswalks/01_FINOS_AIGF_Crosswalk.html</t>
        </is>
      </c>
    </row>
    <row r="7">
      <c r="A7" s="6" t="inlineStr">
        <is>
          <t>Risk frameworks</t>
        </is>
      </c>
      <c r="B7" s="6" t="inlineStr">
        <is>
          <t>FINOS AIGF risks</t>
        </is>
      </c>
      <c r="C7" s="6" t="inlineStr">
        <is>
          <t>FINOS risks to wiki risks</t>
        </is>
      </c>
      <c r="D7" s="6" t="inlineStr">
        <is>
          <t>AIR-OP-006</t>
        </is>
      </c>
      <c r="E7" s="6" t="inlineStr">
        <is>
          <t>Non-Deterministic Behaviour</t>
        </is>
      </c>
      <c r="F7" s="6" t="inlineStr">
        <is>
          <t>None</t>
        </is>
      </c>
      <c r="G7" s="6" t="inlineStr">
        <is>
          <t>AI-R16</t>
        </is>
      </c>
      <c r="H7" s="6" t="inlineStr">
        <is>
          <t>Wiki maps risks directly</t>
        </is>
      </c>
      <c r="I7" s="6" t="inlineStr">
        <is>
          <t>Direct</t>
        </is>
      </c>
      <c r="J7" s="6" t="inlineStr">
        <is>
          <t>FINOS status: Approved; Wiki risks: AI-R16; EU AI Act (per FINOS): Art. 9, Art. 15, Art. 14</t>
        </is>
      </c>
      <c r="K7" s="6" t="inlineStr">
        <is>
          <t>https://nachi065.github.io/AI-Security-Wiki/23_Framework_Crosswalks/01_FINOS_AIGF_Crosswalk.html</t>
        </is>
      </c>
    </row>
    <row r="8">
      <c r="A8" s="157" t="inlineStr">
        <is>
          <t>Risk frameworks</t>
        </is>
      </c>
      <c r="B8" s="157" t="inlineStr">
        <is>
          <t>FINOS AIGF risks</t>
        </is>
      </c>
      <c r="C8" s="157" t="inlineStr">
        <is>
          <t>FINOS risks to wiki risks</t>
        </is>
      </c>
      <c r="D8" s="157" t="inlineStr">
        <is>
          <t>AIR-OP-007</t>
        </is>
      </c>
      <c r="E8" s="157" t="inlineStr">
        <is>
          <t>Availability of Foundational Model</t>
        </is>
      </c>
      <c r="F8" s="157" t="inlineStr">
        <is>
          <t>None</t>
        </is>
      </c>
      <c r="G8" s="157" t="inlineStr">
        <is>
          <t>AI-R13</t>
        </is>
      </c>
      <c r="H8" s="157" t="inlineStr">
        <is>
          <t>Wiki maps risks directly</t>
        </is>
      </c>
      <c r="I8" s="157" t="inlineStr">
        <is>
          <t>Direct</t>
        </is>
      </c>
      <c r="J8" s="157" t="inlineStr">
        <is>
          <t>FINOS status: Approved; Wiki risks: AI-R13; EU AI Act (per FINOS): Art. 15, Art. 26, Art. 53</t>
        </is>
      </c>
      <c r="K8" s="157" t="inlineStr">
        <is>
          <t>https://nachi065.github.io/AI-Security-Wiki/23_Framework_Crosswalks/01_FINOS_AIGF_Crosswalk.html</t>
        </is>
      </c>
    </row>
    <row r="9">
      <c r="A9" s="6" t="inlineStr">
        <is>
          <t>Risk frameworks</t>
        </is>
      </c>
      <c r="B9" s="6" t="inlineStr">
        <is>
          <t>FINOS AIGF risks</t>
        </is>
      </c>
      <c r="C9" s="6" t="inlineStr">
        <is>
          <t>FINOS risks to wiki risks</t>
        </is>
      </c>
      <c r="D9" s="6" t="inlineStr">
        <is>
          <t>AIR-OP-014</t>
        </is>
      </c>
      <c r="E9" s="6" t="inlineStr">
        <is>
          <t>Inadequate System Alignment</t>
        </is>
      </c>
      <c r="F9" s="6" t="inlineStr">
        <is>
          <t>None</t>
        </is>
      </c>
      <c r="G9" s="6" t="inlineStr">
        <is>
          <t>AI-R18</t>
        </is>
      </c>
      <c r="H9" s="6" t="inlineStr">
        <is>
          <t>Wiki maps risks directly</t>
        </is>
      </c>
      <c r="I9" s="6" t="inlineStr">
        <is>
          <t>Partial</t>
        </is>
      </c>
      <c r="J9" s="6" t="inlineStr">
        <is>
          <t>FINOS status: Approved; Wiki risks: AI-R18; EU AI Act (per FINOS): Art. 5, Art. 9, Art. 14</t>
        </is>
      </c>
      <c r="K9" s="6" t="inlineStr">
        <is>
          <t>https://nachi065.github.io/AI-Security-Wiki/23_Framework_Crosswalks/01_FINOS_AIGF_Crosswalk.html</t>
        </is>
      </c>
    </row>
    <row r="10">
      <c r="A10" s="157" t="inlineStr">
        <is>
          <t>Risk frameworks</t>
        </is>
      </c>
      <c r="B10" s="157" t="inlineStr">
        <is>
          <t>FINOS AIGF risks</t>
        </is>
      </c>
      <c r="C10" s="157" t="inlineStr">
        <is>
          <t>FINOS risks to wiki risks</t>
        </is>
      </c>
      <c r="D10" s="157" t="inlineStr">
        <is>
          <t>AIR-OP-016</t>
        </is>
      </c>
      <c r="E10" s="157" t="inlineStr">
        <is>
          <t>Bias and Discrimination</t>
        </is>
      </c>
      <c r="F10" s="157" t="inlineStr">
        <is>
          <t>None</t>
        </is>
      </c>
      <c r="G10" s="157" t="inlineStr">
        <is>
          <t>AI-R14</t>
        </is>
      </c>
      <c r="H10" s="157" t="inlineStr">
        <is>
          <t>Wiki maps risks directly</t>
        </is>
      </c>
      <c r="I10" s="157" t="inlineStr">
        <is>
          <t>Direct</t>
        </is>
      </c>
      <c r="J10" s="157" t="inlineStr">
        <is>
          <t>FINOS status: Approved; Wiki risks: AI-R14; EU AI Act (per FINOS): Art. 5, Art. 9, Art. 10, Art. 14, Art. 27</t>
        </is>
      </c>
      <c r="K10" s="157" t="inlineStr">
        <is>
          <t>https://nachi065.github.io/AI-Security-Wiki/23_Framework_Crosswalks/01_FINOS_AIGF_Crosswalk.html</t>
        </is>
      </c>
    </row>
    <row r="11">
      <c r="A11" s="6" t="inlineStr">
        <is>
          <t>Risk frameworks</t>
        </is>
      </c>
      <c r="B11" s="6" t="inlineStr">
        <is>
          <t>FINOS AIGF risks</t>
        </is>
      </c>
      <c r="C11" s="6" t="inlineStr">
        <is>
          <t>FINOS risks to wiki risks</t>
        </is>
      </c>
      <c r="D11" s="6" t="inlineStr">
        <is>
          <t>AIR-OP-017</t>
        </is>
      </c>
      <c r="E11" s="6" t="inlineStr">
        <is>
          <t>Lack of Explainability</t>
        </is>
      </c>
      <c r="F11" s="6" t="inlineStr">
        <is>
          <t>None</t>
        </is>
      </c>
      <c r="G11" s="6" t="inlineStr">
        <is>
          <t>AI-R15</t>
        </is>
      </c>
      <c r="H11" s="6" t="inlineStr">
        <is>
          <t>Wiki maps risks directly</t>
        </is>
      </c>
      <c r="I11" s="6" t="inlineStr">
        <is>
          <t>Direct</t>
        </is>
      </c>
      <c r="J11" s="6" t="inlineStr">
        <is>
          <t>FINOS status: Approved; Wiki risks: AI-R15; EU AI Act (per FINOS): Art. 13, Art. 14, Art. 50, Art. 86</t>
        </is>
      </c>
      <c r="K11" s="6" t="inlineStr">
        <is>
          <t>https://nachi065.github.io/AI-Security-Wiki/23_Framework_Crosswalks/01_FINOS_AIGF_Crosswalk.html</t>
        </is>
      </c>
    </row>
    <row r="12">
      <c r="A12" s="157" t="inlineStr">
        <is>
          <t>Risk frameworks</t>
        </is>
      </c>
      <c r="B12" s="157" t="inlineStr">
        <is>
          <t>FINOS AIGF risks</t>
        </is>
      </c>
      <c r="C12" s="157" t="inlineStr">
        <is>
          <t>FINOS risks to wiki risks</t>
        </is>
      </c>
      <c r="D12" s="157" t="inlineStr">
        <is>
          <t>AIR-OP-018</t>
        </is>
      </c>
      <c r="E12" s="157" t="inlineStr">
        <is>
          <t>Model Overreach / Expanded Use</t>
        </is>
      </c>
      <c r="F12" s="157" t="inlineStr">
        <is>
          <t>None</t>
        </is>
      </c>
      <c r="G12" s="157" t="inlineStr">
        <is>
          <t>AI-R18</t>
        </is>
      </c>
      <c r="H12" s="157" t="inlineStr">
        <is>
          <t>Wiki maps risks directly</t>
        </is>
      </c>
      <c r="I12" s="157" t="inlineStr">
        <is>
          <t>Partial</t>
        </is>
      </c>
      <c r="J12" s="157" t="inlineStr">
        <is>
          <t>FINOS status: Approved; Wiki risks: AI-R18; EU AI Act (per FINOS): Art. 6, Art. 14, Art. 26</t>
        </is>
      </c>
      <c r="K12" s="157" t="inlineStr">
        <is>
          <t>https://nachi065.github.io/AI-Security-Wiki/23_Framework_Crosswalks/01_FINOS_AIGF_Crosswalk.html</t>
        </is>
      </c>
    </row>
    <row r="13">
      <c r="A13" s="6" t="inlineStr">
        <is>
          <t>Risk frameworks</t>
        </is>
      </c>
      <c r="B13" s="6" t="inlineStr">
        <is>
          <t>FINOS AIGF risks</t>
        </is>
      </c>
      <c r="C13" s="6" t="inlineStr">
        <is>
          <t>FINOS risks to wiki risks</t>
        </is>
      </c>
      <c r="D13" s="6" t="inlineStr">
        <is>
          <t>AIR-OP-019</t>
        </is>
      </c>
      <c r="E13" s="6" t="inlineStr">
        <is>
          <t>Data Quality and Drift</t>
        </is>
      </c>
      <c r="F13" s="6" t="inlineStr">
        <is>
          <t>None</t>
        </is>
      </c>
      <c r="G13" s="6" t="inlineStr">
        <is>
          <t>AI-R17</t>
        </is>
      </c>
      <c r="H13" s="6" t="inlineStr">
        <is>
          <t>Wiki maps risks directly</t>
        </is>
      </c>
      <c r="I13" s="6" t="inlineStr">
        <is>
          <t>Direct</t>
        </is>
      </c>
      <c r="J13" s="6" t="inlineStr">
        <is>
          <t>FINOS status: Approved; Wiki risks: AI-R17; EU AI Act (per FINOS): Art. 10, Art. 9, Art. 15</t>
        </is>
      </c>
      <c r="K13" s="6" t="inlineStr">
        <is>
          <t>https://nachi065.github.io/AI-Security-Wiki/23_Framework_Crosswalks/01_FINOS_AIGF_Crosswalk.html</t>
        </is>
      </c>
    </row>
    <row r="14">
      <c r="A14" s="157" t="inlineStr">
        <is>
          <t>Risk frameworks</t>
        </is>
      </c>
      <c r="B14" s="157" t="inlineStr">
        <is>
          <t>FINOS AIGF risks</t>
        </is>
      </c>
      <c r="C14" s="157" t="inlineStr">
        <is>
          <t>FINOS risks to wiki risks</t>
        </is>
      </c>
      <c r="D14" s="157" t="inlineStr">
        <is>
          <t>AIR-OP-020</t>
        </is>
      </c>
      <c r="E14" s="157" t="inlineStr">
        <is>
          <t>Reputational Risk</t>
        </is>
      </c>
      <c r="F14" s="157" t="inlineStr">
        <is>
          <t>None</t>
        </is>
      </c>
      <c r="G14" s="157" t="inlineStr">
        <is>
          <t>AI-R20</t>
        </is>
      </c>
      <c r="H14" s="157" t="inlineStr">
        <is>
          <t>Wiki maps risks directly</t>
        </is>
      </c>
      <c r="I14" s="157" t="inlineStr">
        <is>
          <t>Direct</t>
        </is>
      </c>
      <c r="J14" s="157" t="inlineStr">
        <is>
          <t>FINOS status: Approved; Wiki risks: AI-R20; EU AI Act (per FINOS): Art. 5, Art. 9, Art. 14</t>
        </is>
      </c>
      <c r="K14" s="157" t="inlineStr">
        <is>
          <t>https://nachi065.github.io/AI-Security-Wiki/23_Framework_Crosswalks/01_FINOS_AIGF_Crosswalk.html</t>
        </is>
      </c>
    </row>
    <row r="15">
      <c r="A15" s="6" t="inlineStr">
        <is>
          <t>Risk frameworks</t>
        </is>
      </c>
      <c r="B15" s="6" t="inlineStr">
        <is>
          <t>FINOS AIGF risks</t>
        </is>
      </c>
      <c r="C15" s="6" t="inlineStr">
        <is>
          <t>FINOS risks to wiki risks</t>
        </is>
      </c>
      <c r="D15" s="6" t="inlineStr">
        <is>
          <t>AIR-OP-028</t>
        </is>
      </c>
      <c r="E15" s="6" t="inlineStr">
        <is>
          <t>Multi-Agent Trust Boundary Violations</t>
        </is>
      </c>
      <c r="F15" s="6" t="inlineStr">
        <is>
          <t>None</t>
        </is>
      </c>
      <c r="G15" s="6" t="inlineStr">
        <is>
          <t>AI-R25</t>
        </is>
      </c>
      <c r="H15" s="6" t="inlineStr">
        <is>
          <t>Wiki maps risks directly</t>
        </is>
      </c>
      <c r="I15" s="6" t="inlineStr">
        <is>
          <t>Direct</t>
        </is>
      </c>
      <c r="J15" s="6" t="inlineStr">
        <is>
          <t>FINOS status: Approved; Wiki risks: AI-R25; EU AI Act (per FINOS): None listed</t>
        </is>
      </c>
      <c r="K15" s="6" t="inlineStr">
        <is>
          <t>https://nachi065.github.io/AI-Security-Wiki/23_Framework_Crosswalks/01_FINOS_AIGF_Crosswalk.html</t>
        </is>
      </c>
    </row>
    <row r="16">
      <c r="A16" s="157" t="inlineStr">
        <is>
          <t>Risk frameworks</t>
        </is>
      </c>
      <c r="B16" s="157" t="inlineStr">
        <is>
          <t>FINOS AIGF risks</t>
        </is>
      </c>
      <c r="C16" s="157" t="inlineStr">
        <is>
          <t>FINOS risks to wiki risks</t>
        </is>
      </c>
      <c r="D16" s="157" t="inlineStr">
        <is>
          <t>AIR-RC-001</t>
        </is>
      </c>
      <c r="E16" s="157" t="inlineStr">
        <is>
          <t>Information Leaked To Hosted Model</t>
        </is>
      </c>
      <c r="F16" s="157" t="inlineStr">
        <is>
          <t>None</t>
        </is>
      </c>
      <c r="G16" s="157" t="inlineStr">
        <is>
          <t>AI-R01, AI-R03, AI-R04, AI-R10</t>
        </is>
      </c>
      <c r="H16" s="157" t="inlineStr">
        <is>
          <t>Wiki maps risks directly</t>
        </is>
      </c>
      <c r="I16" s="157" t="inlineStr">
        <is>
          <t>Partial</t>
        </is>
      </c>
      <c r="J16" s="157" t="inlineStr">
        <is>
          <t>FINOS status: Approved; Wiki risks: AI-R01, AI-R03, AI-R04, AI-R10; EU AI Act (per FINOS): Art. 10, Art. 13, Art. 53</t>
        </is>
      </c>
      <c r="K16" s="157" t="inlineStr">
        <is>
          <t>https://nachi065.github.io/AI-Security-Wiki/23_Framework_Crosswalks/01_FINOS_AIGF_Crosswalk.html</t>
        </is>
      </c>
    </row>
    <row r="17">
      <c r="A17" s="6" t="inlineStr">
        <is>
          <t>Risk frameworks</t>
        </is>
      </c>
      <c r="B17" s="6" t="inlineStr">
        <is>
          <t>FINOS AIGF risks</t>
        </is>
      </c>
      <c r="C17" s="6" t="inlineStr">
        <is>
          <t>FINOS risks to wiki risks</t>
        </is>
      </c>
      <c r="D17" s="6" t="inlineStr">
        <is>
          <t>AIR-RC-022</t>
        </is>
      </c>
      <c r="E17" s="6" t="inlineStr">
        <is>
          <t>Regulatory Compliance and Oversight</t>
        </is>
      </c>
      <c r="F17" s="6" t="inlineStr">
        <is>
          <t>None</t>
        </is>
      </c>
      <c r="G17" s="6" t="inlineStr">
        <is>
          <t>AI-R19, AI-R28</t>
        </is>
      </c>
      <c r="H17" s="6" t="inlineStr">
        <is>
          <t>Wiki maps risks directly</t>
        </is>
      </c>
      <c r="I17" s="6" t="inlineStr">
        <is>
          <t>Direct for AI-R28; Partial for AI-R19</t>
        </is>
      </c>
      <c r="J17" s="6" t="inlineStr">
        <is>
          <t>FINOS status: Approved; Wiki risks: AI-R28, AI-R19; EU AI Act (per FINOS): Art. 8, Art. 10, Art. 16, Art. 21, Art. 27</t>
        </is>
      </c>
      <c r="K17" s="6" t="inlineStr">
        <is>
          <t>https://nachi065.github.io/AI-Security-Wiki/23_Framework_Crosswalks/01_FINOS_AIGF_Crosswalk.html</t>
        </is>
      </c>
    </row>
    <row r="18">
      <c r="A18" s="157" t="inlineStr">
        <is>
          <t>Risk frameworks</t>
        </is>
      </c>
      <c r="B18" s="157" t="inlineStr">
        <is>
          <t>FINOS AIGF risks</t>
        </is>
      </c>
      <c r="C18" s="157" t="inlineStr">
        <is>
          <t>FINOS risks to wiki risks</t>
        </is>
      </c>
      <c r="D18" s="157" t="inlineStr">
        <is>
          <t>AIR-RC-023</t>
        </is>
      </c>
      <c r="E18" s="157" t="inlineStr">
        <is>
          <t>Intellectual Property (IP) and Copyright</t>
        </is>
      </c>
      <c r="F18" s="157" t="inlineStr">
        <is>
          <t>None</t>
        </is>
      </c>
      <c r="G18" s="157" t="inlineStr">
        <is>
          <t>AI-R27</t>
        </is>
      </c>
      <c r="H18" s="157" t="inlineStr">
        <is>
          <t>Wiki maps risks directly</t>
        </is>
      </c>
      <c r="I18" s="157" t="inlineStr">
        <is>
          <t>Direct</t>
        </is>
      </c>
      <c r="J18" s="157" t="inlineStr">
        <is>
          <t>FINOS status: Approved; Wiki risks: AI-R27; EU AI Act (per FINOS): Art. 10, Art. 11, Art. 53</t>
        </is>
      </c>
      <c r="K18" s="157" t="inlineStr">
        <is>
          <t>https://nachi065.github.io/AI-Security-Wiki/23_Framework_Crosswalks/01_FINOS_AIGF_Crosswalk.html</t>
        </is>
      </c>
    </row>
    <row r="19">
      <c r="A19" s="6" t="inlineStr">
        <is>
          <t>Risk frameworks</t>
        </is>
      </c>
      <c r="B19" s="6" t="inlineStr">
        <is>
          <t>FINOS AIGF risks</t>
        </is>
      </c>
      <c r="C19" s="6" t="inlineStr">
        <is>
          <t>FINOS risks to wiki risks</t>
        </is>
      </c>
      <c r="D19" s="6" t="inlineStr">
        <is>
          <t>AIR-SEC-002</t>
        </is>
      </c>
      <c r="E19" s="6" t="inlineStr">
        <is>
          <t>Information Leaked to Vector Store</t>
        </is>
      </c>
      <c r="F19" s="6" t="inlineStr">
        <is>
          <t>None</t>
        </is>
      </c>
      <c r="G19" s="6" t="inlineStr">
        <is>
          <t>AI-R06</t>
        </is>
      </c>
      <c r="H19" s="6" t="inlineStr">
        <is>
          <t>Wiki maps risks directly</t>
        </is>
      </c>
      <c r="I19" s="6" t="inlineStr">
        <is>
          <t>Partial</t>
        </is>
      </c>
      <c r="J19" s="6" t="inlineStr">
        <is>
          <t>FINOS status: Approved; Wiki risks: AI-R06; EU AI Act (per FINOS): Art. 10, Art. 15, Art. 16</t>
        </is>
      </c>
      <c r="K19" s="6" t="inlineStr">
        <is>
          <t>https://nachi065.github.io/AI-Security-Wiki/23_Framework_Crosswalks/01_FINOS_AIGF_Crosswalk.html</t>
        </is>
      </c>
    </row>
    <row r="20">
      <c r="A20" s="157" t="inlineStr">
        <is>
          <t>Risk frameworks</t>
        </is>
      </c>
      <c r="B20" s="157" t="inlineStr">
        <is>
          <t>FINOS AIGF risks</t>
        </is>
      </c>
      <c r="C20" s="157" t="inlineStr">
        <is>
          <t>FINOS risks to wiki risks</t>
        </is>
      </c>
      <c r="D20" s="157" t="inlineStr">
        <is>
          <t>AIR-SEC-008</t>
        </is>
      </c>
      <c r="E20" s="157" t="inlineStr">
        <is>
          <t>Tampering With the Foundational Model</t>
        </is>
      </c>
      <c r="F20" s="157" t="inlineStr">
        <is>
          <t>None</t>
        </is>
      </c>
      <c r="G20" s="157" t="inlineStr">
        <is>
          <t>AI-R08</t>
        </is>
      </c>
      <c r="H20" s="157" t="inlineStr">
        <is>
          <t>Wiki maps risks directly</t>
        </is>
      </c>
      <c r="I20" s="157" t="inlineStr">
        <is>
          <t>Partial</t>
        </is>
      </c>
      <c r="J20" s="157" t="inlineStr">
        <is>
          <t>FINOS status: Approved; Wiki risks: AI-R08; EU AI Act (per FINOS): Art. 15, Art. 16, Art. 53</t>
        </is>
      </c>
      <c r="K20" s="157" t="inlineStr">
        <is>
          <t>https://nachi065.github.io/AI-Security-Wiki/23_Framework_Crosswalks/01_FINOS_AIGF_Crosswalk.html</t>
        </is>
      </c>
    </row>
    <row r="21">
      <c r="A21" s="6" t="inlineStr">
        <is>
          <t>Risk frameworks</t>
        </is>
      </c>
      <c r="B21" s="6" t="inlineStr">
        <is>
          <t>FINOS AIGF risks</t>
        </is>
      </c>
      <c r="C21" s="6" t="inlineStr">
        <is>
          <t>FINOS risks to wiki risks</t>
        </is>
      </c>
      <c r="D21" s="6" t="inlineStr">
        <is>
          <t>AIR-SEC-009</t>
        </is>
      </c>
      <c r="E21" s="6" t="inlineStr">
        <is>
          <t>Data Poisoning</t>
        </is>
      </c>
      <c r="F21" s="6" t="inlineStr">
        <is>
          <t>None</t>
        </is>
      </c>
      <c r="G21" s="6" t="inlineStr">
        <is>
          <t>AI-R08</t>
        </is>
      </c>
      <c r="H21" s="6" t="inlineStr">
        <is>
          <t>Wiki maps risks directly</t>
        </is>
      </c>
      <c r="I21" s="6" t="inlineStr">
        <is>
          <t>Partial</t>
        </is>
      </c>
      <c r="J21" s="6" t="inlineStr">
        <is>
          <t>FINOS status: Approved; Wiki risks: AI-R08; EU AI Act (per FINOS): Art. 10, Art. 15, Art. 53</t>
        </is>
      </c>
      <c r="K21" s="6" t="inlineStr">
        <is>
          <t>https://nachi065.github.io/AI-Security-Wiki/23_Framework_Crosswalks/01_FINOS_AIGF_Crosswalk.html</t>
        </is>
      </c>
    </row>
    <row r="22">
      <c r="A22" s="157" t="inlineStr">
        <is>
          <t>Risk frameworks</t>
        </is>
      </c>
      <c r="B22" s="157" t="inlineStr">
        <is>
          <t>FINOS AIGF risks</t>
        </is>
      </c>
      <c r="C22" s="157" t="inlineStr">
        <is>
          <t>FINOS risks to wiki risks</t>
        </is>
      </c>
      <c r="D22" s="157" t="inlineStr">
        <is>
          <t>AIR-SEC-010</t>
        </is>
      </c>
      <c r="E22" s="157" t="inlineStr">
        <is>
          <t>Prompt Injection</t>
        </is>
      </c>
      <c r="F22" s="157" t="inlineStr">
        <is>
          <t>None</t>
        </is>
      </c>
      <c r="G22" s="157" t="inlineStr">
        <is>
          <t>AI-R05</t>
        </is>
      </c>
      <c r="H22" s="157" t="inlineStr">
        <is>
          <t>Wiki maps risks directly</t>
        </is>
      </c>
      <c r="I22" s="157" t="inlineStr">
        <is>
          <t>Direct</t>
        </is>
      </c>
      <c r="J22" s="157" t="inlineStr">
        <is>
          <t>FINOS status: Approved; Wiki risks: AI-R05; EU AI Act (per FINOS): Art. 5, Art. 15, Art. 14</t>
        </is>
      </c>
      <c r="K22" s="157" t="inlineStr">
        <is>
          <t>https://nachi065.github.io/AI-Security-Wiki/23_Framework_Crosswalks/01_FINOS_AIGF_Crosswalk.html</t>
        </is>
      </c>
    </row>
    <row r="23">
      <c r="A23" s="6" t="inlineStr">
        <is>
          <t>Risk frameworks</t>
        </is>
      </c>
      <c r="B23" s="6" t="inlineStr">
        <is>
          <t>FINOS AIGF risks</t>
        </is>
      </c>
      <c r="C23" s="6" t="inlineStr">
        <is>
          <t>FINOS risks to wiki risks</t>
        </is>
      </c>
      <c r="D23" s="6" t="inlineStr">
        <is>
          <t>AIR-SEC-024</t>
        </is>
      </c>
      <c r="E23" s="6" t="inlineStr">
        <is>
          <t>Agent Action Authorization Bypass</t>
        </is>
      </c>
      <c r="F23" s="6" t="inlineStr">
        <is>
          <t>None</t>
        </is>
      </c>
      <c r="G23" s="6" t="inlineStr">
        <is>
          <t>AI-R07</t>
        </is>
      </c>
      <c r="H23" s="6" t="inlineStr">
        <is>
          <t>Wiki maps risks directly</t>
        </is>
      </c>
      <c r="I23" s="6" t="inlineStr">
        <is>
          <t>Partial</t>
        </is>
      </c>
      <c r="J23" s="6" t="inlineStr">
        <is>
          <t>FINOS status: Approved; Wiki risks: AI-R07; EU AI Act (per FINOS): None listed</t>
        </is>
      </c>
      <c r="K23" s="6" t="inlineStr">
        <is>
          <t>https://nachi065.github.io/AI-Security-Wiki/23_Framework_Crosswalks/01_FINOS_AIGF_Crosswalk.html</t>
        </is>
      </c>
    </row>
    <row r="24">
      <c r="A24" s="157" t="inlineStr">
        <is>
          <t>Risk frameworks</t>
        </is>
      </c>
      <c r="B24" s="157" t="inlineStr">
        <is>
          <t>FINOS AIGF risks</t>
        </is>
      </c>
      <c r="C24" s="157" t="inlineStr">
        <is>
          <t>FINOS risks to wiki risks</t>
        </is>
      </c>
      <c r="D24" s="157" t="inlineStr">
        <is>
          <t>AIR-SEC-025</t>
        </is>
      </c>
      <c r="E24" s="157" t="inlineStr">
        <is>
          <t>Tool Chain Manipulation and Injection</t>
        </is>
      </c>
      <c r="F24" s="157" t="inlineStr">
        <is>
          <t>None</t>
        </is>
      </c>
      <c r="G24" s="157" t="inlineStr">
        <is>
          <t>AI-R24</t>
        </is>
      </c>
      <c r="H24" s="157" t="inlineStr">
        <is>
          <t>Wiki maps risks directly</t>
        </is>
      </c>
      <c r="I24" s="157" t="inlineStr">
        <is>
          <t>Direct</t>
        </is>
      </c>
      <c r="J24" s="157" t="inlineStr">
        <is>
          <t>FINOS status: Approved; Wiki risks: AI-R24; EU AI Act (per FINOS): None listed</t>
        </is>
      </c>
      <c r="K24" s="157" t="inlineStr">
        <is>
          <t>https://nachi065.github.io/AI-Security-Wiki/23_Framework_Crosswalks/01_FINOS_AIGF_Crosswalk.html</t>
        </is>
      </c>
    </row>
    <row r="25">
      <c r="A25" s="6" t="inlineStr">
        <is>
          <t>Risk frameworks</t>
        </is>
      </c>
      <c r="B25" s="6" t="inlineStr">
        <is>
          <t>FINOS AIGF risks</t>
        </is>
      </c>
      <c r="C25" s="6" t="inlineStr">
        <is>
          <t>FINOS risks to wiki risks</t>
        </is>
      </c>
      <c r="D25" s="6" t="inlineStr">
        <is>
          <t>AIR-SEC-026</t>
        </is>
      </c>
      <c r="E25" s="6" t="inlineStr">
        <is>
          <t>MCP Server Supply Chain Compromise</t>
        </is>
      </c>
      <c r="F25" s="6" t="inlineStr">
        <is>
          <t>None</t>
        </is>
      </c>
      <c r="G25" s="6" t="inlineStr">
        <is>
          <t>AI-R08, AI-R23</t>
        </is>
      </c>
      <c r="H25" s="6" t="inlineStr">
        <is>
          <t>Wiki maps risks directly</t>
        </is>
      </c>
      <c r="I25" s="6" t="inlineStr">
        <is>
          <t>Direct</t>
        </is>
      </c>
      <c r="J25" s="6" t="inlineStr">
        <is>
          <t>FINOS status: Approved; Wiki risks: AI-R23, AI-R08; EU AI Act (per FINOS): None listed</t>
        </is>
      </c>
      <c r="K25" s="6" t="inlineStr">
        <is>
          <t>https://nachi065.github.io/AI-Security-Wiki/23_Framework_Crosswalks/01_FINOS_AIGF_Crosswalk.html</t>
        </is>
      </c>
    </row>
    <row r="26">
      <c r="A26" s="157" t="inlineStr">
        <is>
          <t>Risk frameworks</t>
        </is>
      </c>
      <c r="B26" s="157" t="inlineStr">
        <is>
          <t>FINOS AIGF risks</t>
        </is>
      </c>
      <c r="C26" s="157" t="inlineStr">
        <is>
          <t>FINOS risks to wiki risks</t>
        </is>
      </c>
      <c r="D26" s="157" t="inlineStr">
        <is>
          <t>AIR-SEC-027</t>
        </is>
      </c>
      <c r="E26" s="157" t="inlineStr">
        <is>
          <t>Agent State Persistence Poisoning</t>
        </is>
      </c>
      <c r="F26" s="157" t="inlineStr">
        <is>
          <t>None</t>
        </is>
      </c>
      <c r="G26" s="157" t="inlineStr">
        <is>
          <t>AI-R21</t>
        </is>
      </c>
      <c r="H26" s="157" t="inlineStr">
        <is>
          <t>Wiki maps risks directly</t>
        </is>
      </c>
      <c r="I26" s="157" t="inlineStr">
        <is>
          <t>Direct</t>
        </is>
      </c>
      <c r="J26" s="157" t="inlineStr">
        <is>
          <t>FINOS status: Approved; Wiki risks: AI-R21; EU AI Act (per FINOS): None listed</t>
        </is>
      </c>
      <c r="K26" s="157" t="inlineStr">
        <is>
          <t>https://nachi065.github.io/AI-Security-Wiki/23_Framework_Crosswalks/01_FINOS_AIGF_Crosswalk.html</t>
        </is>
      </c>
    </row>
    <row r="27">
      <c r="A27" s="6" t="inlineStr">
        <is>
          <t>Risk frameworks</t>
        </is>
      </c>
      <c r="B27" s="6" t="inlineStr">
        <is>
          <t>FINOS AIGF risks</t>
        </is>
      </c>
      <c r="C27" s="6" t="inlineStr">
        <is>
          <t>FINOS risks to wiki risks</t>
        </is>
      </c>
      <c r="D27" s="6" t="inlineStr">
        <is>
          <t>AIR-SEC-029</t>
        </is>
      </c>
      <c r="E27" s="6" t="inlineStr">
        <is>
          <t>Agent-Mediated Credential Discovery and Harvesting</t>
        </is>
      </c>
      <c r="F27" s="6" t="inlineStr">
        <is>
          <t>None</t>
        </is>
      </c>
      <c r="G27" s="6" t="inlineStr">
        <is>
          <t>AI-R22</t>
        </is>
      </c>
      <c r="H27" s="6" t="inlineStr">
        <is>
          <t>Wiki maps risks directly</t>
        </is>
      </c>
      <c r="I27" s="6" t="inlineStr">
        <is>
          <t>Direct</t>
        </is>
      </c>
      <c r="J27" s="6" t="inlineStr">
        <is>
          <t>FINOS status: Approved; Wiki risks: AI-R22; EU AI Act (per FINOS): None listed</t>
        </is>
      </c>
      <c r="K27" s="6" t="inlineStr">
        <is>
          <t>https://nachi065.github.io/AI-Security-Wiki/23_Framework_Crosswalks/01_FINOS_AIGF_Crosswalk.html</t>
        </is>
      </c>
    </row>
    <row r="28">
      <c r="A28" s="157" t="inlineStr">
        <is>
          <t>Risk frameworks</t>
        </is>
      </c>
      <c r="B28" s="157" t="inlineStr">
        <is>
          <t>FINOS AIGF risks</t>
        </is>
      </c>
      <c r="C28" s="157" t="inlineStr">
        <is>
          <t>FINOS risks to wiki risks</t>
        </is>
      </c>
      <c r="D28" s="157" t="inlineStr">
        <is>
          <t>AIR-SEC-030</t>
        </is>
      </c>
      <c r="E28" s="157" t="inlineStr">
        <is>
          <t>Skill/Plugin Supply Chain Compromise</t>
        </is>
      </c>
      <c r="F28" s="157" t="inlineStr">
        <is>
          <t>None</t>
        </is>
      </c>
      <c r="G28" s="157" t="inlineStr">
        <is>
          <t>AI-R23</t>
        </is>
      </c>
      <c r="H28" s="157" t="inlineStr">
        <is>
          <t>Wiki maps risks directly</t>
        </is>
      </c>
      <c r="I28" s="157" t="inlineStr">
        <is>
          <t>Direct</t>
        </is>
      </c>
      <c r="J28" s="157" t="inlineStr">
        <is>
          <t>FINOS status: Draft; Wiki risks: AI-R23; EU AI Act (per FINOS): None listed</t>
        </is>
      </c>
      <c r="K28" s="157" t="inlineStr">
        <is>
          <t>https://nachi065.github.io/AI-Security-Wiki/23_Framework_Crosswalks/01_FINOS_AIGF_Crosswalk.html</t>
        </is>
      </c>
    </row>
    <row r="29">
      <c r="A29" s="6" t="inlineStr">
        <is>
          <t>Risk frameworks</t>
        </is>
      </c>
      <c r="B29" s="6" t="inlineStr">
        <is>
          <t>FINOS AIGF mitigations</t>
        </is>
      </c>
      <c r="C29" s="6" t="inlineStr">
        <is>
          <t>FINOS mitigations to wiki controls</t>
        </is>
      </c>
      <c r="D29" s="6" t="inlineStr">
        <is>
          <t>AIR-DET-001</t>
        </is>
      </c>
      <c r="E29" s="6" t="inlineStr">
        <is>
          <t>AI Data Leakage Prevention and Detection</t>
        </is>
      </c>
      <c r="F29" s="6" t="inlineStr">
        <is>
          <t>AI-CTRL-002, AI-CTRL-003, AI-CTRL-017</t>
        </is>
      </c>
      <c r="G29" s="6" t="inlineStr">
        <is>
          <t>AI-R01, AI-R03, AI-R06, AI-R17, AI-R27</t>
        </is>
      </c>
      <c r="H29" s="6" t="inlineStr">
        <is>
          <t>Derived via mapped controls</t>
        </is>
      </c>
      <c r="I29" s="6" t="inlineStr"/>
      <c r="J29" s="6" t="inlineStr">
        <is>
          <t>FINOS status: Approved; EU AI Act (per FINOS): None listed; ISO/IEC 42001 Annex A (per FINOS): A.7.2, A.6.2.6, A.5.2</t>
        </is>
      </c>
      <c r="K29" s="6" t="inlineStr">
        <is>
          <t>https://nachi065.github.io/AI-Security-Wiki/23_Framework_Crosswalks/01_FINOS_AIGF_Crosswalk.html</t>
        </is>
      </c>
    </row>
    <row r="30">
      <c r="A30" s="157" t="inlineStr">
        <is>
          <t>Risk frameworks</t>
        </is>
      </c>
      <c r="B30" s="157" t="inlineStr">
        <is>
          <t>FINOS AIGF mitigations</t>
        </is>
      </c>
      <c r="C30" s="157" t="inlineStr">
        <is>
          <t>FINOS mitigations to wiki controls</t>
        </is>
      </c>
      <c r="D30" s="157" t="inlineStr">
        <is>
          <t>AIR-DET-004</t>
        </is>
      </c>
      <c r="E30" s="157" t="inlineStr">
        <is>
          <t>AI System Observability</t>
        </is>
      </c>
      <c r="F30" s="157" t="inlineStr">
        <is>
          <t>AI-CTRL-008, AI-CTRL-009</t>
        </is>
      </c>
      <c r="G30" s="157" t="inlineStr">
        <is>
          <t>AI-R09, AI-R15, AI-R26</t>
        </is>
      </c>
      <c r="H30" s="157" t="inlineStr">
        <is>
          <t>Derived via mapped controls</t>
        </is>
      </c>
      <c r="I30" s="157" t="inlineStr"/>
      <c r="J30" s="157" t="inlineStr">
        <is>
          <t>FINOS status: Approved; EU AI Act (per FINOS): None listed; ISO/IEC 42001 Annex A (per FINOS): A.6.2.6, A.6.2.8</t>
        </is>
      </c>
      <c r="K30" s="157" t="inlineStr">
        <is>
          <t>https://nachi065.github.io/AI-Security-Wiki/23_Framework_Crosswalks/01_FINOS_AIGF_Crosswalk.html</t>
        </is>
      </c>
    </row>
    <row r="31">
      <c r="A31" s="6" t="inlineStr">
        <is>
          <t>Risk frameworks</t>
        </is>
      </c>
      <c r="B31" s="6" t="inlineStr">
        <is>
          <t>FINOS AIGF mitigations</t>
        </is>
      </c>
      <c r="C31" s="6" t="inlineStr">
        <is>
          <t>FINOS mitigations to wiki controls</t>
        </is>
      </c>
      <c r="D31" s="6" t="inlineStr">
        <is>
          <t>AIR-DET-009</t>
        </is>
      </c>
      <c r="E31" s="6" t="inlineStr">
        <is>
          <t>AI System Alerting and Denial of Wallet (DoW) / Spend Monitoring</t>
        </is>
      </c>
      <c r="F31" s="6" t="inlineStr">
        <is>
          <t>AI-CTRL-036</t>
        </is>
      </c>
      <c r="G31" s="6" t="inlineStr">
        <is>
          <t>AI-R11</t>
        </is>
      </c>
      <c r="H31" s="6" t="inlineStr">
        <is>
          <t>Derived via mapped controls</t>
        </is>
      </c>
      <c r="I31" s="6" t="inlineStr"/>
      <c r="J31" s="6" t="inlineStr">
        <is>
          <t>FINOS status: Approved; EU AI Act (per FINOS): None listed; ISO/IEC 42001 Annex A (per FINOS): A.6.2.6, A.4.2</t>
        </is>
      </c>
      <c r="K31" s="6" t="inlineStr">
        <is>
          <t>https://nachi065.github.io/AI-Security-Wiki/23_Framework_Crosswalks/01_FINOS_AIGF_Crosswalk.html</t>
        </is>
      </c>
    </row>
    <row r="32">
      <c r="A32" s="157" t="inlineStr">
        <is>
          <t>Risk frameworks</t>
        </is>
      </c>
      <c r="B32" s="157" t="inlineStr">
        <is>
          <t>FINOS AIGF mitigations</t>
        </is>
      </c>
      <c r="C32" s="157" t="inlineStr">
        <is>
          <t>FINOS mitigations to wiki controls</t>
        </is>
      </c>
      <c r="D32" s="157" t="inlineStr">
        <is>
          <t>AIR-DET-011</t>
        </is>
      </c>
      <c r="E32" s="157" t="inlineStr">
        <is>
          <t>Human Feedback Loop for AI Systems</t>
        </is>
      </c>
      <c r="F32" s="157" t="inlineStr">
        <is>
          <t>AI-CTRL-034, AI-CTRL-045</t>
        </is>
      </c>
      <c r="G32" s="157" t="inlineStr">
        <is>
          <t>AI-R05, AI-R07, AI-R12, AI-R14, AI-R16, AI-R17, AI-R18, AI-R19, AI-R20, AI-R28</t>
        </is>
      </c>
      <c r="H32" s="157" t="inlineStr">
        <is>
          <t>Derived via mapped controls</t>
        </is>
      </c>
      <c r="I32" s="157" t="inlineStr"/>
      <c r="J32" s="157" t="inlineStr">
        <is>
          <t>FINOS status: Approved; EU AI Act (per FINOS): Art. 14, Art. 72; ISO/IEC 42001 Annex A (per FINOS): A.6.2.6, A.8.2, A.8.3, A.3.3</t>
        </is>
      </c>
      <c r="K32" s="157" t="inlineStr">
        <is>
          <t>https://nachi065.github.io/AI-Security-Wiki/23_Framework_Crosswalks/01_FINOS_AIGF_Crosswalk.html</t>
        </is>
      </c>
    </row>
    <row r="33">
      <c r="A33" s="6" t="inlineStr">
        <is>
          <t>Risk frameworks</t>
        </is>
      </c>
      <c r="B33" s="6" t="inlineStr">
        <is>
          <t>FINOS AIGF mitigations</t>
        </is>
      </c>
      <c r="C33" s="6" t="inlineStr">
        <is>
          <t>FINOS mitigations to wiki controls</t>
        </is>
      </c>
      <c r="D33" s="6" t="inlineStr">
        <is>
          <t>AIR-DET-013</t>
        </is>
      </c>
      <c r="E33" s="6" t="inlineStr">
        <is>
          <t>Providing Citations and Source Traceability for AI-Generated Information</t>
        </is>
      </c>
      <c r="F33" s="6" t="inlineStr">
        <is>
          <t>AI-CTRL-039</t>
        </is>
      </c>
      <c r="G33" s="6" t="inlineStr">
        <is>
          <t>AI-R12, AI-R14, AI-R20</t>
        </is>
      </c>
      <c r="H33" s="6" t="inlineStr">
        <is>
          <t>Derived via mapped controls</t>
        </is>
      </c>
      <c r="I33" s="6" t="inlineStr"/>
      <c r="J33" s="6" t="inlineStr">
        <is>
          <t>FINOS status: Approved; EU AI Act (per FINOS): Art. 13, Art. 86; ISO/IEC 42001 Annex A (per FINOS): A.8.2, A.6.1.2, A.6.2.7</t>
        </is>
      </c>
      <c r="K33" s="6" t="inlineStr">
        <is>
          <t>https://nachi065.github.io/AI-Security-Wiki/23_Framework_Crosswalks/01_FINOS_AIGF_Crosswalk.html</t>
        </is>
      </c>
    </row>
    <row r="34">
      <c r="A34" s="157" t="inlineStr">
        <is>
          <t>Risk frameworks</t>
        </is>
      </c>
      <c r="B34" s="157" t="inlineStr">
        <is>
          <t>FINOS AIGF mitigations</t>
        </is>
      </c>
      <c r="C34" s="157" t="inlineStr">
        <is>
          <t>FINOS mitigations to wiki controls</t>
        </is>
      </c>
      <c r="D34" s="157" t="inlineStr">
        <is>
          <t>AIR-DET-015</t>
        </is>
      </c>
      <c r="E34" s="157" t="inlineStr">
        <is>
          <t>Using Large Language Models for Automated Evaluation (LLM-as-a-Judge)</t>
        </is>
      </c>
      <c r="F34" s="157" t="inlineStr">
        <is>
          <t>AI-CTRL-034, AI-CTRL-039</t>
        </is>
      </c>
      <c r="G34" s="157" t="inlineStr">
        <is>
          <t>AI-R05, AI-R07, AI-R12, AI-R14, AI-R16, AI-R17, AI-R20</t>
        </is>
      </c>
      <c r="H34" s="157" t="inlineStr">
        <is>
          <t>Derived via mapped controls</t>
        </is>
      </c>
      <c r="I34" s="157" t="inlineStr"/>
      <c r="J34" s="157" t="inlineStr">
        <is>
          <t>FINOS status: Approved; EU AI Act (per FINOS): None listed; ISO/IEC 42001 Annex A (per FINOS): A.6.2.4, A.6.2.6</t>
        </is>
      </c>
      <c r="K34" s="157" t="inlineStr">
        <is>
          <t>https://nachi065.github.io/AI-Security-Wiki/23_Framework_Crosswalks/01_FINOS_AIGF_Crosswalk.html</t>
        </is>
      </c>
    </row>
    <row r="35">
      <c r="A35" s="6" t="inlineStr">
        <is>
          <t>Risk frameworks</t>
        </is>
      </c>
      <c r="B35" s="6" t="inlineStr">
        <is>
          <t>FINOS AIGF mitigations</t>
        </is>
      </c>
      <c r="C35" s="6" t="inlineStr">
        <is>
          <t>FINOS mitigations to wiki controls</t>
        </is>
      </c>
      <c r="D35" s="6" t="inlineStr">
        <is>
          <t>AIR-DET-016</t>
        </is>
      </c>
      <c r="E35" s="6" t="inlineStr">
        <is>
          <t>Preserving Source Data Access Controls in AI Systems</t>
        </is>
      </c>
      <c r="F35" s="6" t="inlineStr">
        <is>
          <t>AI-CTRL-018</t>
        </is>
      </c>
      <c r="G35" s="6" t="inlineStr">
        <is>
          <t>AI-R06</t>
        </is>
      </c>
      <c r="H35" s="6" t="inlineStr">
        <is>
          <t>Derived via mapped controls</t>
        </is>
      </c>
      <c r="I35" s="6" t="inlineStr"/>
      <c r="J35" s="6" t="inlineStr">
        <is>
          <t>FINOS status: Approved; EU AI Act (per FINOS): None listed; ISO/IEC 42001 Annex A (per FINOS): A.7.2, A.7.3, A.9.2</t>
        </is>
      </c>
      <c r="K35" s="6" t="inlineStr">
        <is>
          <t>https://nachi065.github.io/AI-Security-Wiki/23_Framework_Crosswalks/01_FINOS_AIGF_Crosswalk.html</t>
        </is>
      </c>
    </row>
    <row r="36">
      <c r="A36" s="157" t="inlineStr">
        <is>
          <t>Risk frameworks</t>
        </is>
      </c>
      <c r="B36" s="157" t="inlineStr">
        <is>
          <t>FINOS AIGF mitigations</t>
        </is>
      </c>
      <c r="C36" s="157" t="inlineStr">
        <is>
          <t>FINOS mitigations to wiki controls</t>
        </is>
      </c>
      <c r="D36" s="157" t="inlineStr">
        <is>
          <t>AIR-DET-021</t>
        </is>
      </c>
      <c r="E36" s="157" t="inlineStr">
        <is>
          <t>Agent Decision Audit and Explainability</t>
        </is>
      </c>
      <c r="F36" s="157" t="inlineStr">
        <is>
          <t>AI-CTRL-008, AI-CTRL-038, AI-CTRL-041</t>
        </is>
      </c>
      <c r="G36" s="157" t="inlineStr">
        <is>
          <t>AI-R09, AI-R12, AI-R14, AI-R15, AI-R26, AI-R28</t>
        </is>
      </c>
      <c r="H36" s="157" t="inlineStr">
        <is>
          <t>Derived via mapped controls</t>
        </is>
      </c>
      <c r="I36" s="157" t="inlineStr"/>
      <c r="J36" s="157" t="inlineStr">
        <is>
          <t>FINOS status: Approved; EU AI Act (per FINOS): Art. 12, Art. 26, Art. 72, Art. 13, Art. 86; ISO/IEC 42001 Annex A (per FINOS): A.8.3, A.6.2.6</t>
        </is>
      </c>
      <c r="K36" s="157" t="inlineStr">
        <is>
          <t>https://nachi065.github.io/AI-Security-Wiki/23_Framework_Crosswalks/01_FINOS_AIGF_Crosswalk.html</t>
        </is>
      </c>
    </row>
    <row r="37">
      <c r="A37" s="6" t="inlineStr">
        <is>
          <t>Risk frameworks</t>
        </is>
      </c>
      <c r="B37" s="6" t="inlineStr">
        <is>
          <t>FINOS AIGF mitigations</t>
        </is>
      </c>
      <c r="C37" s="6" t="inlineStr">
        <is>
          <t>FINOS mitigations to wiki controls</t>
        </is>
      </c>
      <c r="D37" s="6" t="inlineStr">
        <is>
          <t>AIR-PREV-002</t>
        </is>
      </c>
      <c r="E37" s="6" t="inlineStr">
        <is>
          <t>Data Filtering From External Knowledge Bases</t>
        </is>
      </c>
      <c r="F37" s="6" t="inlineStr">
        <is>
          <t>AI-CTRL-019</t>
        </is>
      </c>
      <c r="G37" s="6" t="inlineStr">
        <is>
          <t>AI-R05, AI-R08, AI-R17</t>
        </is>
      </c>
      <c r="H37" s="6" t="inlineStr">
        <is>
          <t>Derived via mapped controls</t>
        </is>
      </c>
      <c r="I37" s="6" t="inlineStr"/>
      <c r="J37" s="6" t="inlineStr">
        <is>
          <t>FINOS status: Approved; EU AI Act (per FINOS): None listed; ISO/IEC 42001 Annex A (per FINOS): A.7.2, A.7.3, A.7.4, A.7.6</t>
        </is>
      </c>
      <c r="K37" s="6" t="inlineStr">
        <is>
          <t>https://nachi065.github.io/AI-Security-Wiki/23_Framework_Crosswalks/01_FINOS_AIGF_Crosswalk.html</t>
        </is>
      </c>
    </row>
    <row r="38">
      <c r="A38" s="157" t="inlineStr">
        <is>
          <t>Risk frameworks</t>
        </is>
      </c>
      <c r="B38" s="157" t="inlineStr">
        <is>
          <t>FINOS AIGF mitigations</t>
        </is>
      </c>
      <c r="C38" s="157" t="inlineStr">
        <is>
          <t>FINOS mitigations to wiki controls</t>
        </is>
      </c>
      <c r="D38" s="157" t="inlineStr">
        <is>
          <t>AIR-PREV-003</t>
        </is>
      </c>
      <c r="E38" s="157" t="inlineStr">
        <is>
          <t>User/App/Model Firewalling/Filtering</t>
        </is>
      </c>
      <c r="F38" s="157" t="inlineStr">
        <is>
          <t>AI-CTRL-005, AI-CTRL-020</t>
        </is>
      </c>
      <c r="G38" s="157" t="inlineStr">
        <is>
          <t>AI-R05, AI-R06, AI-R24, AI-R26</t>
        </is>
      </c>
      <c r="H38" s="157" t="inlineStr">
        <is>
          <t>Derived via mapped controls</t>
        </is>
      </c>
      <c r="I38" s="157" t="inlineStr"/>
      <c r="J38" s="157" t="inlineStr">
        <is>
          <t>FINOS status: Approved; EU AI Act (per FINOS): None listed; ISO/IEC 42001 Annex A (per FINOS): A.6.1.3, A.6.2.2, A.9.2</t>
        </is>
      </c>
      <c r="K38" s="157" t="inlineStr">
        <is>
          <t>https://nachi065.github.io/AI-Security-Wiki/23_Framework_Crosswalks/01_FINOS_AIGF_Crosswalk.html</t>
        </is>
      </c>
    </row>
    <row r="39">
      <c r="A39" s="6" t="inlineStr">
        <is>
          <t>Risk frameworks</t>
        </is>
      </c>
      <c r="B39" s="6" t="inlineStr">
        <is>
          <t>FINOS AIGF mitigations</t>
        </is>
      </c>
      <c r="C39" s="6" t="inlineStr">
        <is>
          <t>FINOS mitigations to wiki controls</t>
        </is>
      </c>
      <c r="D39" s="6" t="inlineStr">
        <is>
          <t>AIR-PREV-005</t>
        </is>
      </c>
      <c r="E39" s="6" t="inlineStr">
        <is>
          <t>System Acceptance Testing</t>
        </is>
      </c>
      <c r="F39" s="6" t="inlineStr">
        <is>
          <t>AI-CTRL-033, AI-CTRL-034</t>
        </is>
      </c>
      <c r="G39" s="6" t="inlineStr">
        <is>
          <t>AI-R05, AI-R07, AI-R08, AI-R14, AI-R16, AI-R17, AI-R20, AI-R55</t>
        </is>
      </c>
      <c r="H39" s="6" t="inlineStr">
        <is>
          <t>Derived via mapped controls</t>
        </is>
      </c>
      <c r="I39" s="6" t="inlineStr"/>
      <c r="J39" s="6" t="inlineStr">
        <is>
          <t>FINOS status: Approved; EU AI Act (per FINOS): Art. 9, Art. 15; ISO/IEC 42001 Annex A (per FINOS): A.6.2.4, A.6.2.5</t>
        </is>
      </c>
      <c r="K39" s="6" t="inlineStr">
        <is>
          <t>https://nachi065.github.io/AI-Security-Wiki/23_Framework_Crosswalks/01_FINOS_AIGF_Crosswalk.html</t>
        </is>
      </c>
    </row>
    <row r="40">
      <c r="A40" s="157" t="inlineStr">
        <is>
          <t>Risk frameworks</t>
        </is>
      </c>
      <c r="B40" s="157" t="inlineStr">
        <is>
          <t>FINOS AIGF mitigations</t>
        </is>
      </c>
      <c r="C40" s="157" t="inlineStr">
        <is>
          <t>FINOS mitigations to wiki controls</t>
        </is>
      </c>
      <c r="D40" s="157" t="inlineStr">
        <is>
          <t>AIR-PREV-006</t>
        </is>
      </c>
      <c r="E40" s="157" t="inlineStr">
        <is>
          <t>Data Quality &amp; Classification/Sensitivity</t>
        </is>
      </c>
      <c r="F40" s="157" t="inlineStr">
        <is>
          <t>AI-CTRL-017, AI-CTRL-019</t>
        </is>
      </c>
      <c r="G40" s="157" t="inlineStr">
        <is>
          <t>AI-R01, AI-R03, AI-R05, AI-R06, AI-R08, AI-R17</t>
        </is>
      </c>
      <c r="H40" s="157" t="inlineStr">
        <is>
          <t>Derived via mapped controls</t>
        </is>
      </c>
      <c r="I40" s="157" t="inlineStr"/>
      <c r="J40" s="157" t="inlineStr">
        <is>
          <t>FINOS status: Approved; EU AI Act (per FINOS): Art. 10; ISO/IEC 42001 Annex A (per FINOS): A.7.4, A.7.2, A.4.3</t>
        </is>
      </c>
      <c r="K40" s="157" t="inlineStr">
        <is>
          <t>https://nachi065.github.io/AI-Security-Wiki/23_Framework_Crosswalks/01_FINOS_AIGF_Crosswalk.html</t>
        </is>
      </c>
    </row>
    <row r="41">
      <c r="A41" s="6" t="inlineStr">
        <is>
          <t>Risk frameworks</t>
        </is>
      </c>
      <c r="B41" s="6" t="inlineStr">
        <is>
          <t>FINOS AIGF mitigations</t>
        </is>
      </c>
      <c r="C41" s="6" t="inlineStr">
        <is>
          <t>FINOS mitigations to wiki controls</t>
        </is>
      </c>
      <c r="D41" s="6" t="inlineStr">
        <is>
          <t>AIR-PREV-007</t>
        </is>
      </c>
      <c r="E41" s="6" t="inlineStr">
        <is>
          <t>Legal and Contractual Frameworks for AI Systems</t>
        </is>
      </c>
      <c r="F41" s="6" t="inlineStr">
        <is>
          <t>AI-CTRL-013, AI-CTRL-014, AI-CTRL-046</t>
        </is>
      </c>
      <c r="G41" s="6" t="inlineStr">
        <is>
          <t>AI-R03, AI-R08, AI-R10, AI-R16, AI-R27, AI-R28</t>
        </is>
      </c>
      <c r="H41" s="6" t="inlineStr">
        <is>
          <t>Derived via mapped controls</t>
        </is>
      </c>
      <c r="I41" s="6" t="inlineStr"/>
      <c r="J41" s="6" t="inlineStr">
        <is>
          <t>FINOS status: Approved; EU AI Act (per FINOS): None listed; ISO/IEC 42001 Annex A (per FINOS): A.2.3, A.10.2, A.10.3, A.8.5</t>
        </is>
      </c>
      <c r="K41" s="6" t="inlineStr">
        <is>
          <t>https://nachi065.github.io/AI-Security-Wiki/23_Framework_Crosswalks/01_FINOS_AIGF_Crosswalk.html</t>
        </is>
      </c>
    </row>
    <row r="42">
      <c r="A42" s="157" t="inlineStr">
        <is>
          <t>Risk frameworks</t>
        </is>
      </c>
      <c r="B42" s="157" t="inlineStr">
        <is>
          <t>FINOS AIGF mitigations</t>
        </is>
      </c>
      <c r="C42" s="157" t="inlineStr">
        <is>
          <t>FINOS mitigations to wiki controls</t>
        </is>
      </c>
      <c r="D42" s="157" t="inlineStr">
        <is>
          <t>AIR-PREV-008</t>
        </is>
      </c>
      <c r="E42" s="157" t="inlineStr">
        <is>
          <t>Quality of Service (QoS) and DDoS Prevention for AI Systems</t>
        </is>
      </c>
      <c r="F42" s="157" t="inlineStr">
        <is>
          <t>AI-CTRL-036, AI-CTRL-040</t>
        </is>
      </c>
      <c r="G42" s="157" t="inlineStr">
        <is>
          <t>AI-R11, AI-R13, AI-R16</t>
        </is>
      </c>
      <c r="H42" s="157" t="inlineStr">
        <is>
          <t>Derived via mapped controls</t>
        </is>
      </c>
      <c r="I42" s="157" t="inlineStr"/>
      <c r="J42" s="157" t="inlineStr">
        <is>
          <t>FINOS status: Approved; EU AI Act (per FINOS): None listed; ISO/IEC 42001 Annex A (per FINOS): A.6.2.6, A.4.5</t>
        </is>
      </c>
      <c r="K42" s="157" t="inlineStr">
        <is>
          <t>https://nachi065.github.io/AI-Security-Wiki/23_Framework_Crosswalks/01_FINOS_AIGF_Crosswalk.html</t>
        </is>
      </c>
    </row>
    <row r="43">
      <c r="A43" s="6" t="inlineStr">
        <is>
          <t>Risk frameworks</t>
        </is>
      </c>
      <c r="B43" s="6" t="inlineStr">
        <is>
          <t>FINOS AIGF mitigations</t>
        </is>
      </c>
      <c r="C43" s="6" t="inlineStr">
        <is>
          <t>FINOS mitigations to wiki controls</t>
        </is>
      </c>
      <c r="D43" s="6" t="inlineStr">
        <is>
          <t>AIR-PREV-010</t>
        </is>
      </c>
      <c r="E43" s="6" t="inlineStr">
        <is>
          <t>AI Model Version Pinning</t>
        </is>
      </c>
      <c r="F43" s="6" t="inlineStr">
        <is>
          <t>AI-CTRL-031, AI-CTRL-034</t>
        </is>
      </c>
      <c r="G43" s="6" t="inlineStr">
        <is>
          <t>AI-R05, AI-R07, AI-R08, AI-R16, AI-R17, AI-R20, AI-R23</t>
        </is>
      </c>
      <c r="H43" s="6" t="inlineStr">
        <is>
          <t>Derived via mapped controls</t>
        </is>
      </c>
      <c r="I43" s="6" t="inlineStr"/>
      <c r="J43" s="6" t="inlineStr">
        <is>
          <t>FINOS status: Approved; EU AI Act (per FINOS): None listed; ISO/IEC 42001 Annex A (per FINOS): A.6.2.3, A.6.2.5, A.6.2.6, A.4.4</t>
        </is>
      </c>
      <c r="K43" s="6" t="inlineStr">
        <is>
          <t>https://nachi065.github.io/AI-Security-Wiki/23_Framework_Crosswalks/01_FINOS_AIGF_Crosswalk.html</t>
        </is>
      </c>
    </row>
    <row r="44">
      <c r="A44" s="157" t="inlineStr">
        <is>
          <t>Risk frameworks</t>
        </is>
      </c>
      <c r="B44" s="157" t="inlineStr">
        <is>
          <t>FINOS AIGF mitigations</t>
        </is>
      </c>
      <c r="C44" s="157" t="inlineStr">
        <is>
          <t>FINOS mitigations to wiki controls</t>
        </is>
      </c>
      <c r="D44" s="157" t="inlineStr">
        <is>
          <t>AIR-PREV-012</t>
        </is>
      </c>
      <c r="E44" s="157" t="inlineStr">
        <is>
          <t>Role-Based Access Control for AI Data</t>
        </is>
      </c>
      <c r="F44" s="157" t="inlineStr">
        <is>
          <t>AI-CTRL-016, AI-CTRL-018</t>
        </is>
      </c>
      <c r="G44" s="157" t="inlineStr">
        <is>
          <t>AI-R06, AI-R07, AI-R08, AI-R22</t>
        </is>
      </c>
      <c r="H44" s="157" t="inlineStr">
        <is>
          <t>Derived via mapped controls</t>
        </is>
      </c>
      <c r="I44" s="157" t="inlineStr"/>
      <c r="J44" s="157" t="inlineStr">
        <is>
          <t>FINOS status: Approved; EU AI Act (per FINOS): None listed; ISO/IEC 42001 Annex A (per FINOS): A.3.2, A.7.2</t>
        </is>
      </c>
      <c r="K44" s="157" t="inlineStr">
        <is>
          <t>https://nachi065.github.io/AI-Security-Wiki/23_Framework_Crosswalks/01_FINOS_AIGF_Crosswalk.html</t>
        </is>
      </c>
    </row>
    <row r="45">
      <c r="A45" s="6" t="inlineStr">
        <is>
          <t>Risk frameworks</t>
        </is>
      </c>
      <c r="B45" s="6" t="inlineStr">
        <is>
          <t>FINOS AIGF mitigations</t>
        </is>
      </c>
      <c r="C45" s="6" t="inlineStr">
        <is>
          <t>FINOS mitigations to wiki controls</t>
        </is>
      </c>
      <c r="D45" s="6" t="inlineStr">
        <is>
          <t>AIR-PREV-014</t>
        </is>
      </c>
      <c r="E45" s="6" t="inlineStr">
        <is>
          <t>Encryption of AI Data at Rest</t>
        </is>
      </c>
      <c r="F45" s="6" t="inlineStr">
        <is>
          <t>AI-CTRL-017, AI-CTRL-032</t>
        </is>
      </c>
      <c r="G45" s="6" t="inlineStr">
        <is>
          <t>AI-R01, AI-R03, AI-R06, AI-R08, AI-R10, AI-R17</t>
        </is>
      </c>
      <c r="H45" s="6" t="inlineStr">
        <is>
          <t>Derived via mapped controls</t>
        </is>
      </c>
      <c r="I45" s="6" t="inlineStr"/>
      <c r="J45" s="6" t="inlineStr">
        <is>
          <t>FINOS status: Approved; EU AI Act (per FINOS): None listed; ISO/IEC 42001 Annex A (per FINOS): A.7.2</t>
        </is>
      </c>
      <c r="K45" s="6" t="inlineStr">
        <is>
          <t>https://nachi065.github.io/AI-Security-Wiki/23_Framework_Crosswalks/01_FINOS_AIGF_Crosswalk.html</t>
        </is>
      </c>
    </row>
    <row r="46">
      <c r="A46" s="157" t="inlineStr">
        <is>
          <t>Risk frameworks</t>
        </is>
      </c>
      <c r="B46" s="157" t="inlineStr">
        <is>
          <t>FINOS AIGF mitigations</t>
        </is>
      </c>
      <c r="C46" s="157" t="inlineStr">
        <is>
          <t>FINOS mitigations to wiki controls</t>
        </is>
      </c>
      <c r="D46" s="157" t="inlineStr">
        <is>
          <t>AIR-PREV-017</t>
        </is>
      </c>
      <c r="E46" s="157" t="inlineStr">
        <is>
          <t>AI Firewall Implementation and Management</t>
        </is>
      </c>
      <c r="F46" s="157" t="inlineStr">
        <is>
          <t>AI-CTRL-005</t>
        </is>
      </c>
      <c r="G46" s="157" t="inlineStr">
        <is>
          <t>AI-R05, AI-R06, AI-R24</t>
        </is>
      </c>
      <c r="H46" s="157" t="inlineStr">
        <is>
          <t>Derived via mapped controls</t>
        </is>
      </c>
      <c r="I46" s="157" t="inlineStr"/>
      <c r="J46" s="157" t="inlineStr">
        <is>
          <t>FINOS status: Approved; EU AI Act (per FINOS): None listed; ISO/IEC 42001 Annex A (per FINOS): A.6.1.3, A.6.2.2, A.9.2</t>
        </is>
      </c>
      <c r="K46" s="157" t="inlineStr">
        <is>
          <t>https://nachi065.github.io/AI-Security-Wiki/23_Framework_Crosswalks/01_FINOS_AIGF_Crosswalk.html</t>
        </is>
      </c>
    </row>
    <row r="47">
      <c r="A47" s="6" t="inlineStr">
        <is>
          <t>Risk frameworks</t>
        </is>
      </c>
      <c r="B47" s="6" t="inlineStr">
        <is>
          <t>FINOS AIGF mitigations</t>
        </is>
      </c>
      <c r="C47" s="6" t="inlineStr">
        <is>
          <t>FINOS mitigations to wiki controls</t>
        </is>
      </c>
      <c r="D47" s="6" t="inlineStr">
        <is>
          <t>AIR-PREV-018</t>
        </is>
      </c>
      <c r="E47" s="6" t="inlineStr">
        <is>
          <t>Agent Authority Least Privilege Framework</t>
        </is>
      </c>
      <c r="F47" s="6" t="inlineStr">
        <is>
          <t>AI-CTRL-016, AI-CTRL-022</t>
        </is>
      </c>
      <c r="G47" s="6" t="inlineStr">
        <is>
          <t>AI-R06, AI-R07, AI-R08, AI-R22, AI-R24</t>
        </is>
      </c>
      <c r="H47" s="6" t="inlineStr">
        <is>
          <t>Derived via mapped controls</t>
        </is>
      </c>
      <c r="I47" s="6" t="inlineStr"/>
      <c r="J47" s="6" t="inlineStr">
        <is>
          <t>FINOS status: Approved; EU AI Act (per FINOS): None listed; ISO/IEC 42001 Annex A (per FINOS): None listed</t>
        </is>
      </c>
      <c r="K47" s="6" t="inlineStr">
        <is>
          <t>https://nachi065.github.io/AI-Security-Wiki/23_Framework_Crosswalks/01_FINOS_AIGF_Crosswalk.html</t>
        </is>
      </c>
    </row>
    <row r="48">
      <c r="A48" s="157" t="inlineStr">
        <is>
          <t>Risk frameworks</t>
        </is>
      </c>
      <c r="B48" s="157" t="inlineStr">
        <is>
          <t>FINOS AIGF mitigations</t>
        </is>
      </c>
      <c r="C48" s="157" t="inlineStr">
        <is>
          <t>FINOS mitigations to wiki controls</t>
        </is>
      </c>
      <c r="D48" s="157" t="inlineStr">
        <is>
          <t>AIR-PREV-019</t>
        </is>
      </c>
      <c r="E48" s="157" t="inlineStr">
        <is>
          <t>Tool Chain Validation and Sanitization</t>
        </is>
      </c>
      <c r="F48" s="157" t="inlineStr">
        <is>
          <t>AI-CTRL-020, AI-CTRL-022, AI-CTRL-024</t>
        </is>
      </c>
      <c r="G48" s="157" t="inlineStr">
        <is>
          <t>AI-R05, AI-R06, AI-R07, AI-R08, AI-R23, AI-R24, AI-R26</t>
        </is>
      </c>
      <c r="H48" s="157" t="inlineStr">
        <is>
          <t>Derived via mapped controls</t>
        </is>
      </c>
      <c r="I48" s="157" t="inlineStr"/>
      <c r="J48" s="157" t="inlineStr">
        <is>
          <t>FINOS status: Approved; EU AI Act (per FINOS): None listed; ISO/IEC 42001 Annex A (per FINOS): None listed</t>
        </is>
      </c>
      <c r="K48" s="157" t="inlineStr">
        <is>
          <t>https://nachi065.github.io/AI-Security-Wiki/23_Framework_Crosswalks/01_FINOS_AIGF_Crosswalk.html</t>
        </is>
      </c>
    </row>
    <row r="49">
      <c r="A49" s="6" t="inlineStr">
        <is>
          <t>Risk frameworks</t>
        </is>
      </c>
      <c r="B49" s="6" t="inlineStr">
        <is>
          <t>FINOS AIGF mitigations</t>
        </is>
      </c>
      <c r="C49" s="6" t="inlineStr">
        <is>
          <t>FINOS mitigations to wiki controls</t>
        </is>
      </c>
      <c r="D49" s="6" t="inlineStr">
        <is>
          <t>AIR-PREV-020</t>
        </is>
      </c>
      <c r="E49" s="6" t="inlineStr">
        <is>
          <t>MCP Server Security Governance</t>
        </is>
      </c>
      <c r="F49" s="6" t="inlineStr">
        <is>
          <t>AI-CTRL-024</t>
        </is>
      </c>
      <c r="G49" s="6" t="inlineStr">
        <is>
          <t>AI-R07, AI-R08, AI-R23, AI-R24</t>
        </is>
      </c>
      <c r="H49" s="6" t="inlineStr">
        <is>
          <t>Derived via mapped controls</t>
        </is>
      </c>
      <c r="I49" s="6" t="inlineStr"/>
      <c r="J49" s="6" t="inlineStr">
        <is>
          <t>FINOS status: Approved; EU AI Act (per FINOS): None listed; ISO/IEC 42001 Annex A (per FINOS): None listed</t>
        </is>
      </c>
      <c r="K49" s="6" t="inlineStr">
        <is>
          <t>https://nachi065.github.io/AI-Security-Wiki/23_Framework_Crosswalks/01_FINOS_AIGF_Crosswalk.html</t>
        </is>
      </c>
    </row>
    <row r="50">
      <c r="A50" s="157" t="inlineStr">
        <is>
          <t>Risk frameworks</t>
        </is>
      </c>
      <c r="B50" s="157" t="inlineStr">
        <is>
          <t>FINOS AIGF mitigations</t>
        </is>
      </c>
      <c r="C50" s="157" t="inlineStr">
        <is>
          <t>FINOS mitigations to wiki controls</t>
        </is>
      </c>
      <c r="D50" s="157" t="inlineStr">
        <is>
          <t>AIR-PREV-022</t>
        </is>
      </c>
      <c r="E50" s="157" t="inlineStr">
        <is>
          <t>Multi-Agent Isolation and Segmentation</t>
        </is>
      </c>
      <c r="F50" s="157" t="inlineStr">
        <is>
          <t>AI-CTRL-006, AI-CTRL-027</t>
        </is>
      </c>
      <c r="G50" s="157" t="inlineStr">
        <is>
          <t>AI-R07, AI-R21, AI-R22, AI-R25, AI-R55</t>
        </is>
      </c>
      <c r="H50" s="157" t="inlineStr">
        <is>
          <t>Derived via mapped controls</t>
        </is>
      </c>
      <c r="I50" s="157" t="inlineStr"/>
      <c r="J50" s="157" t="inlineStr">
        <is>
          <t>FINOS status: Approved; EU AI Act (per FINOS): None listed; ISO/IEC 42001 Annex A (per FINOS): None listed</t>
        </is>
      </c>
      <c r="K50" s="157" t="inlineStr">
        <is>
          <t>https://nachi065.github.io/AI-Security-Wiki/23_Framework_Crosswalks/01_FINOS_AIGF_Crosswalk.html</t>
        </is>
      </c>
    </row>
    <row r="51">
      <c r="A51" s="6" t="inlineStr">
        <is>
          <t>Risk frameworks</t>
        </is>
      </c>
      <c r="B51" s="6" t="inlineStr">
        <is>
          <t>FINOS AIGF mitigations</t>
        </is>
      </c>
      <c r="C51" s="6" t="inlineStr">
        <is>
          <t>FINOS mitigations to wiki controls</t>
        </is>
      </c>
      <c r="D51" s="6" t="inlineStr">
        <is>
          <t>AIR-PREV-023</t>
        </is>
      </c>
      <c r="E51" s="6" t="inlineStr">
        <is>
          <t>Agentic System Credential Protection Framework</t>
        </is>
      </c>
      <c r="F51" s="6" t="inlineStr">
        <is>
          <t>AI-CTRL-015, AI-CTRL-016</t>
        </is>
      </c>
      <c r="G51" s="6" t="inlineStr">
        <is>
          <t>AI-R06, AI-R07, AI-R08, AI-R22, AI-R25</t>
        </is>
      </c>
      <c r="H51" s="6" t="inlineStr">
        <is>
          <t>Derived via mapped controls</t>
        </is>
      </c>
      <c r="I51" s="6" t="inlineStr"/>
      <c r="J51" s="6" t="inlineStr">
        <is>
          <t>FINOS status: Approved; EU AI Act (per FINOS): None listed; ISO/IEC 42001 Annex A (per FINOS): None listed</t>
        </is>
      </c>
      <c r="K51" s="6" t="inlineStr">
        <is>
          <t>https://nachi065.github.io/AI-Security-Wiki/23_Framework_Crosswalks/01_FINOS_AIGF_Crosswalk.html</t>
        </is>
      </c>
    </row>
    <row r="52">
      <c r="A52" s="157" t="inlineStr">
        <is>
          <t>Risk frameworks</t>
        </is>
      </c>
      <c r="B52" s="157" t="inlineStr">
        <is>
          <t>FINOS AIGF mitigations</t>
        </is>
      </c>
      <c r="C52" s="157" t="inlineStr">
        <is>
          <t>FINOS mitigations to wiki controls</t>
        </is>
      </c>
      <c r="D52" s="157" t="inlineStr">
        <is>
          <t>AIR-PREV-024</t>
        </is>
      </c>
      <c r="E52" s="157" t="inlineStr">
        <is>
          <t>Human-in-the-Loop Action Approval Gate</t>
        </is>
      </c>
      <c r="F52" s="157" t="inlineStr">
        <is>
          <t>AI-CTRL-023, AI-CTRL-045</t>
        </is>
      </c>
      <c r="G52" s="157" t="inlineStr">
        <is>
          <t>AI-R07, AI-R12, AI-R14, AI-R18, AI-R19, AI-R28</t>
        </is>
      </c>
      <c r="H52" s="157" t="inlineStr">
        <is>
          <t>Derived via mapped controls</t>
        </is>
      </c>
      <c r="I52" s="157" t="inlineStr"/>
      <c r="J52" s="157" t="inlineStr">
        <is>
          <t>FINOS status: Draft; EU AI Act (per FINOS): Art. 14; ISO/IEC 42001 Annex A (per FINOS): A.6.2.6, A.9.2</t>
        </is>
      </c>
      <c r="K52" s="157" t="inlineStr">
        <is>
          <t>https://nachi065.github.io/AI-Security-Wiki/23_Framework_Crosswalks/01_FINOS_AIGF_Crosswalk.html</t>
        </is>
      </c>
    </row>
    <row r="53">
      <c r="A53" s="6" t="inlineStr">
        <is>
          <t>Risk frameworks</t>
        </is>
      </c>
      <c r="B53" s="6" t="inlineStr">
        <is>
          <t>FINOS AIGF mitigations</t>
        </is>
      </c>
      <c r="C53" s="6" t="inlineStr">
        <is>
          <t>FINOS mitigations to wiki controls</t>
        </is>
      </c>
      <c r="D53" s="6" t="inlineStr">
        <is>
          <t>AIR-PREV-025</t>
        </is>
      </c>
      <c r="E53" s="6" t="inlineStr">
        <is>
          <t>Skill/Plugin Integrity and Governance</t>
        </is>
      </c>
      <c r="F53" s="6" t="inlineStr">
        <is>
          <t>AI-CTRL-024, AI-CTRL-031</t>
        </is>
      </c>
      <c r="G53" s="6" t="inlineStr">
        <is>
          <t>AI-R07, AI-R08, AI-R16, AI-R23, AI-R24</t>
        </is>
      </c>
      <c r="H53" s="6" t="inlineStr">
        <is>
          <t>Derived via mapped controls</t>
        </is>
      </c>
      <c r="I53" s="6" t="inlineStr"/>
      <c r="J53" s="6" t="inlineStr">
        <is>
          <t>FINOS status: Draft; EU AI Act (per FINOS): None listed; ISO/IEC 42001 Annex A (per FINOS): None listed</t>
        </is>
      </c>
      <c r="K53" s="6" t="inlineStr">
        <is>
          <t>https://nachi065.github.io/AI-Security-Wiki/23_Framework_Crosswalks/01_FINOS_AIGF_Crosswalk.html</t>
        </is>
      </c>
    </row>
    <row r="54">
      <c r="A54" s="157" t="inlineStr">
        <is>
          <t>Risk frameworks</t>
        </is>
      </c>
      <c r="B54" s="157" t="inlineStr">
        <is>
          <t>AI BCF</t>
        </is>
      </c>
      <c r="C54" s="157" t="inlineStr">
        <is>
          <t>AI BCF to wiki</t>
        </is>
      </c>
      <c r="D54" s="157" t="inlineStr">
        <is>
          <t>GV.1</t>
        </is>
      </c>
      <c r="E54" s="157" t="inlineStr">
        <is>
          <t>Govern</t>
        </is>
      </c>
      <c r="F54" s="157" t="inlineStr">
        <is>
          <t>AI-CTRL-012</t>
        </is>
      </c>
      <c r="G54" s="157" t="inlineStr">
        <is>
          <t>AI-R02, AI-R03, AI-R18, AI-R19, AI-R27, AI-R28</t>
        </is>
      </c>
      <c r="H54" s="157" t="inlineStr">
        <is>
          <t>Derived via mapped controls</t>
        </is>
      </c>
      <c r="I54" s="157" t="inlineStr">
        <is>
          <t>Direct</t>
        </is>
      </c>
      <c r="J54" s="157" t="inlineStr">
        <is>
          <t>Type: Baseline; Label (wiki paraphrase): AI position documented</t>
        </is>
      </c>
      <c r="K54" s="157" t="inlineStr">
        <is>
          <t>https://nachi065.github.io/AI-Security-Wiki/23_Framework_Crosswalks/02_AI_BCF_Crosswalk.html</t>
        </is>
      </c>
    </row>
    <row r="55">
      <c r="A55" s="6" t="inlineStr">
        <is>
          <t>Risk frameworks</t>
        </is>
      </c>
      <c r="B55" s="6" t="inlineStr">
        <is>
          <t>AI BCF</t>
        </is>
      </c>
      <c r="C55" s="6" t="inlineStr">
        <is>
          <t>AI BCF to wiki</t>
        </is>
      </c>
      <c r="D55" s="6" t="inlineStr">
        <is>
          <t>GV.2</t>
        </is>
      </c>
      <c r="E55" s="6" t="inlineStr">
        <is>
          <t>Govern</t>
        </is>
      </c>
      <c r="F55" s="6" t="inlineStr">
        <is>
          <t>AI-CTRL-012</t>
        </is>
      </c>
      <c r="G55" s="6" t="inlineStr">
        <is>
          <t>AI-R02, AI-R03, AI-R18, AI-R19, AI-R27, AI-R28</t>
        </is>
      </c>
      <c r="H55" s="6" t="inlineStr">
        <is>
          <t>Derived via mapped controls</t>
        </is>
      </c>
      <c r="I55" s="6" t="inlineStr">
        <is>
          <t>Direct</t>
        </is>
      </c>
      <c r="J55" s="6" t="inlineStr">
        <is>
          <t>Type: Baseline; Label (wiki paraphrase): AI roles and responsibilities assigned</t>
        </is>
      </c>
      <c r="K55" s="6" t="inlineStr">
        <is>
          <t>https://nachi065.github.io/AI-Security-Wiki/23_Framework_Crosswalks/02_AI_BCF_Crosswalk.html</t>
        </is>
      </c>
    </row>
    <row r="56">
      <c r="A56" s="157" t="inlineStr">
        <is>
          <t>Risk frameworks</t>
        </is>
      </c>
      <c r="B56" s="157" t="inlineStr">
        <is>
          <t>AI BCF</t>
        </is>
      </c>
      <c r="C56" s="157" t="inlineStr">
        <is>
          <t>AI BCF to wiki</t>
        </is>
      </c>
      <c r="D56" s="157" t="inlineStr">
        <is>
          <t>GV.3</t>
        </is>
      </c>
      <c r="E56" s="157" t="inlineStr">
        <is>
          <t>Govern</t>
        </is>
      </c>
      <c r="F56" s="157" t="inlineStr">
        <is>
          <t>AI-CTRL-044</t>
        </is>
      </c>
      <c r="G56" s="157" t="inlineStr">
        <is>
          <t>AI-R02, AI-R19</t>
        </is>
      </c>
      <c r="H56" s="157" t="inlineStr">
        <is>
          <t>Derived via mapped controls</t>
        </is>
      </c>
      <c r="I56" s="157" t="inlineStr">
        <is>
          <t>Direct</t>
        </is>
      </c>
      <c r="J56" s="157" t="inlineStr">
        <is>
          <t>Type: Baseline; Label (wiki paraphrase): Training on AI use, with records</t>
        </is>
      </c>
      <c r="K56" s="157" t="inlineStr">
        <is>
          <t>https://nachi065.github.io/AI-Security-Wiki/23_Framework_Crosswalks/02_AI_BCF_Crosswalk.html</t>
        </is>
      </c>
    </row>
    <row r="57">
      <c r="A57" s="6" t="inlineStr">
        <is>
          <t>Risk frameworks</t>
        </is>
      </c>
      <c r="B57" s="6" t="inlineStr">
        <is>
          <t>AI BCF</t>
        </is>
      </c>
      <c r="C57" s="6" t="inlineStr">
        <is>
          <t>AI BCF to wiki</t>
        </is>
      </c>
      <c r="D57" s="6" t="inlineStr">
        <is>
          <t>GV.4</t>
        </is>
      </c>
      <c r="E57" s="6" t="inlineStr">
        <is>
          <t>Govern</t>
        </is>
      </c>
      <c r="F57" s="6" t="inlineStr">
        <is>
          <t>AI-CTRL-011, AI-CTRL-037</t>
        </is>
      </c>
      <c r="G57" s="6" t="inlineStr">
        <is>
          <t>AI-R02, AI-R18, AI-R28, AI-R55</t>
        </is>
      </c>
      <c r="H57" s="6" t="inlineStr">
        <is>
          <t>Derived via mapped controls</t>
        </is>
      </c>
      <c r="I57" s="6" t="inlineStr">
        <is>
          <t>Direct</t>
        </is>
      </c>
      <c r="J57" s="6" t="inlineStr">
        <is>
          <t>Type: Baseline; Label (wiki paraphrase): AI risks registered and reviewed</t>
        </is>
      </c>
      <c r="K57" s="6" t="inlineStr">
        <is>
          <t>https://nachi065.github.io/AI-Security-Wiki/23_Framework_Crosswalks/02_AI_BCF_Crosswalk.html</t>
        </is>
      </c>
    </row>
    <row r="58">
      <c r="A58" s="157" t="inlineStr">
        <is>
          <t>Risk frameworks</t>
        </is>
      </c>
      <c r="B58" s="157" t="inlineStr">
        <is>
          <t>AI BCF</t>
        </is>
      </c>
      <c r="C58" s="157" t="inlineStr">
        <is>
          <t>AI BCF to wiki</t>
        </is>
      </c>
      <c r="D58" s="157" t="inlineStr">
        <is>
          <t>CM.1</t>
        </is>
      </c>
      <c r="E58" s="157" t="inlineStr">
        <is>
          <t>Comply</t>
        </is>
      </c>
      <c r="F58" s="157" t="inlineStr">
        <is>
          <t>AI-CTRL-013, AI-CTRL-043</t>
        </is>
      </c>
      <c r="G58" s="157" t="inlineStr">
        <is>
          <t>AI-R03, AI-R09, AI-R10, AI-R27, AI-R28</t>
        </is>
      </c>
      <c r="H58" s="157" t="inlineStr">
        <is>
          <t>Derived via mapped controls</t>
        </is>
      </c>
      <c r="I58" s="157" t="inlineStr">
        <is>
          <t>Direct</t>
        </is>
      </c>
      <c r="J58" s="157" t="inlineStr">
        <is>
          <t>Type: Baseline; Label (wiki paraphrase): Legal and regulatory requirements known and managed</t>
        </is>
      </c>
      <c r="K58" s="157" t="inlineStr">
        <is>
          <t>https://nachi065.github.io/AI-Security-Wiki/23_Framework_Crosswalks/02_AI_BCF_Crosswalk.html</t>
        </is>
      </c>
    </row>
    <row r="59">
      <c r="A59" s="6" t="inlineStr">
        <is>
          <t>Risk frameworks</t>
        </is>
      </c>
      <c r="B59" s="6" t="inlineStr">
        <is>
          <t>AI BCF</t>
        </is>
      </c>
      <c r="C59" s="6" t="inlineStr">
        <is>
          <t>AI BCF to wiki</t>
        </is>
      </c>
      <c r="D59" s="6" t="inlineStr">
        <is>
          <t>CM.2</t>
        </is>
      </c>
      <c r="E59" s="6" t="inlineStr">
        <is>
          <t>Comply</t>
        </is>
      </c>
      <c r="F59" s="6" t="inlineStr">
        <is>
          <t>None</t>
        </is>
      </c>
      <c r="G59" s="6" t="inlineStr">
        <is>
          <t>None</t>
        </is>
      </c>
      <c r="H59" s="6" t="inlineStr">
        <is>
          <t>Derived via mapped controls</t>
        </is>
      </c>
      <c r="I59" s="6" t="inlineStr">
        <is>
          <t>Gap</t>
        </is>
      </c>
      <c r="J59" s="6" t="inlineStr">
        <is>
          <t>Type: Baseline; Label (wiki paraphrase): AI content and interactions marked as AI; Wiki control objectives and pages: No control objective. Templates only: GCC T06 Bilingual AI Use Notice, EU T06 Transparency Notice</t>
        </is>
      </c>
      <c r="K59" s="6" t="inlineStr">
        <is>
          <t>https://nachi065.github.io/AI-Security-Wiki/23_Framework_Crosswalks/02_AI_BCF_Crosswalk.html</t>
        </is>
      </c>
    </row>
    <row r="60">
      <c r="A60" s="157" t="inlineStr">
        <is>
          <t>Risk frameworks</t>
        </is>
      </c>
      <c r="B60" s="157" t="inlineStr">
        <is>
          <t>AI BCF</t>
        </is>
      </c>
      <c r="C60" s="157" t="inlineStr">
        <is>
          <t>AI BCF to wiki</t>
        </is>
      </c>
      <c r="D60" s="157" t="inlineStr">
        <is>
          <t>CM.3</t>
        </is>
      </c>
      <c r="E60" s="157" t="inlineStr">
        <is>
          <t>Comply</t>
        </is>
      </c>
      <c r="F60" s="157" t="inlineStr">
        <is>
          <t>AI-CTRL-008, AI-CTRL-041, AI-CTRL-045</t>
        </is>
      </c>
      <c r="G60" s="157" t="inlineStr">
        <is>
          <t>AI-R07, AI-R09, AI-R12, AI-R14, AI-R15, AI-R18, AI-R19, AI-R26, AI-R28</t>
        </is>
      </c>
      <c r="H60" s="157" t="inlineStr">
        <is>
          <t>Derived via mapped controls</t>
        </is>
      </c>
      <c r="I60" s="157" t="inlineStr">
        <is>
          <t>Partial</t>
        </is>
      </c>
      <c r="J60" s="157" t="inlineStr">
        <is>
          <t>Type: Trigger; Label (wiki paraphrase): High-risk use logged, overseen and disclosed</t>
        </is>
      </c>
      <c r="K60" s="157" t="inlineStr">
        <is>
          <t>https://nachi065.github.io/AI-Security-Wiki/23_Framework_Crosswalks/02_AI_BCF_Crosswalk.html</t>
        </is>
      </c>
    </row>
    <row r="61">
      <c r="A61" s="6" t="inlineStr">
        <is>
          <t>Risk frameworks</t>
        </is>
      </c>
      <c r="B61" s="6" t="inlineStr">
        <is>
          <t>AI BCF</t>
        </is>
      </c>
      <c r="C61" s="6" t="inlineStr">
        <is>
          <t>AI BCF to wiki</t>
        </is>
      </c>
      <c r="D61" s="6" t="inlineStr">
        <is>
          <t>CM.4</t>
        </is>
      </c>
      <c r="E61" s="6" t="inlineStr">
        <is>
          <t>Comply</t>
        </is>
      </c>
      <c r="F61" s="6" t="inlineStr">
        <is>
          <t>AI-CTRL-042</t>
        </is>
      </c>
      <c r="G61" s="6" t="inlineStr">
        <is>
          <t>AI-R10, AI-R12, AI-R28</t>
        </is>
      </c>
      <c r="H61" s="6" t="inlineStr">
        <is>
          <t>Derived via mapped controls</t>
        </is>
      </c>
      <c r="I61" s="6" t="inlineStr">
        <is>
          <t>Direct</t>
        </is>
      </c>
      <c r="J61" s="6" t="inlineStr">
        <is>
          <t>Type: Trigger; Label (wiki paraphrase): Fundamental rights impact assessment before high-risk use</t>
        </is>
      </c>
      <c r="K61" s="6" t="inlineStr">
        <is>
          <t>https://nachi065.github.io/AI-Security-Wiki/23_Framework_Crosswalks/02_AI_BCF_Crosswalk.html</t>
        </is>
      </c>
    </row>
    <row r="62">
      <c r="A62" s="157" t="inlineStr">
        <is>
          <t>Risk frameworks</t>
        </is>
      </c>
      <c r="B62" s="157" t="inlineStr">
        <is>
          <t>AI BCF</t>
        </is>
      </c>
      <c r="C62" s="157" t="inlineStr">
        <is>
          <t>AI BCF to wiki</t>
        </is>
      </c>
      <c r="D62" s="157" t="inlineStr">
        <is>
          <t>RG.1</t>
        </is>
      </c>
      <c r="E62" s="157" t="inlineStr">
        <is>
          <t>Register</t>
        </is>
      </c>
      <c r="F62" s="157" t="inlineStr">
        <is>
          <t>AI-CTRL-001, AI-CTRL-011, AI-CTRL-014, AI-CTRL-031</t>
        </is>
      </c>
      <c r="G62" s="157" t="inlineStr">
        <is>
          <t>AI-R02, AI-R08, AI-R10, AI-R16, AI-R18, AI-R23</t>
        </is>
      </c>
      <c r="H62" s="157" t="inlineStr">
        <is>
          <t>Derived via mapped controls</t>
        </is>
      </c>
      <c r="I62" s="157" t="inlineStr">
        <is>
          <t>Direct</t>
        </is>
      </c>
      <c r="J62" s="157" t="inlineStr">
        <is>
          <t>Type: Baseline; Label (wiki paraphrase): AI systems and providers registered and classified</t>
        </is>
      </c>
      <c r="K62" s="157" t="inlineStr">
        <is>
          <t>https://nachi065.github.io/AI-Security-Wiki/23_Framework_Crosswalks/02_AI_BCF_Crosswalk.html</t>
        </is>
      </c>
    </row>
    <row r="63">
      <c r="A63" s="6" t="inlineStr">
        <is>
          <t>Risk frameworks</t>
        </is>
      </c>
      <c r="B63" s="6" t="inlineStr">
        <is>
          <t>AI BCF</t>
        </is>
      </c>
      <c r="C63" s="6" t="inlineStr">
        <is>
          <t>AI BCF to wiki</t>
        </is>
      </c>
      <c r="D63" s="6" t="inlineStr">
        <is>
          <t>RG.2</t>
        </is>
      </c>
      <c r="E63" s="6" t="inlineStr">
        <is>
          <t>Register</t>
        </is>
      </c>
      <c r="F63" s="6" t="inlineStr">
        <is>
          <t>AI-CTRL-006, AI-CTRL-011</t>
        </is>
      </c>
      <c r="G63" s="6" t="inlineStr">
        <is>
          <t>AI-R02, AI-R07, AI-R18, AI-R25</t>
        </is>
      </c>
      <c r="H63" s="6" t="inlineStr">
        <is>
          <t>Derived via mapped controls</t>
        </is>
      </c>
      <c r="I63" s="6" t="inlineStr">
        <is>
          <t>Direct</t>
        </is>
      </c>
      <c r="J63" s="6" t="inlineStr">
        <is>
          <t>Type: Tier II; Label (wiki paraphrase): Purpose of each AI use registered</t>
        </is>
      </c>
      <c r="K63" s="6" t="inlineStr">
        <is>
          <t>https://nachi065.github.io/AI-Security-Wiki/23_Framework_Crosswalks/02_AI_BCF_Crosswalk.html</t>
        </is>
      </c>
    </row>
    <row r="64">
      <c r="A64" s="157" t="inlineStr">
        <is>
          <t>Risk frameworks</t>
        </is>
      </c>
      <c r="B64" s="157" t="inlineStr">
        <is>
          <t>AI BCF</t>
        </is>
      </c>
      <c r="C64" s="157" t="inlineStr">
        <is>
          <t>AI BCF to wiki</t>
        </is>
      </c>
      <c r="D64" s="157" t="inlineStr">
        <is>
          <t>RG.3</t>
        </is>
      </c>
      <c r="E64" s="157" t="inlineStr">
        <is>
          <t>Register</t>
        </is>
      </c>
      <c r="F64" s="157" t="inlineStr">
        <is>
          <t>None</t>
        </is>
      </c>
      <c r="G64" s="157" t="inlineStr">
        <is>
          <t>None</t>
        </is>
      </c>
      <c r="H64" s="157" t="inlineStr">
        <is>
          <t>Derived via mapped controls</t>
        </is>
      </c>
      <c r="I64" s="157" t="inlineStr">
        <is>
          <t>Gap</t>
        </is>
      </c>
      <c r="J64" s="157" t="inlineStr">
        <is>
          <t>Type: Tier II; Label (wiki paraphrase): Proportionality weighed against alternatives; Wiki control objectives and pages: No control objective</t>
        </is>
      </c>
      <c r="K64" s="157" t="inlineStr">
        <is>
          <t>https://nachi065.github.io/AI-Security-Wiki/23_Framework_Crosswalks/02_AI_BCF_Crosswalk.html</t>
        </is>
      </c>
    </row>
    <row r="65">
      <c r="A65" s="6" t="inlineStr">
        <is>
          <t>Risk frameworks</t>
        </is>
      </c>
      <c r="B65" s="6" t="inlineStr">
        <is>
          <t>AI BCF</t>
        </is>
      </c>
      <c r="C65" s="6" t="inlineStr">
        <is>
          <t>AI BCF to wiki</t>
        </is>
      </c>
      <c r="D65" s="6" t="inlineStr">
        <is>
          <t>RG.4</t>
        </is>
      </c>
      <c r="E65" s="6" t="inlineStr">
        <is>
          <t>Register</t>
        </is>
      </c>
      <c r="F65" s="6" t="inlineStr">
        <is>
          <t>AI-CTRL-025</t>
        </is>
      </c>
      <c r="G65" s="6" t="inlineStr">
        <is>
          <t>AI-R07, AI-R11, AI-R21, AI-R25, AI-R55</t>
        </is>
      </c>
      <c r="H65" s="6" t="inlineStr">
        <is>
          <t>Derived via mapped controls</t>
        </is>
      </c>
      <c r="I65" s="6" t="inlineStr">
        <is>
          <t>Gap</t>
        </is>
      </c>
      <c r="J65" s="6" t="inlineStr">
        <is>
          <t>Type: Baseline; Label (wiki paraphrase): Decommissioning and offboarding of AI systems</t>
        </is>
      </c>
      <c r="K65" s="6" t="inlineStr">
        <is>
          <t>https://nachi065.github.io/AI-Security-Wiki/23_Framework_Crosswalks/02_AI_BCF_Crosswalk.html</t>
        </is>
      </c>
    </row>
    <row r="66">
      <c r="A66" s="157" t="inlineStr">
        <is>
          <t>Risk frameworks</t>
        </is>
      </c>
      <c r="B66" s="157" t="inlineStr">
        <is>
          <t>AI BCF</t>
        </is>
      </c>
      <c r="C66" s="157" t="inlineStr">
        <is>
          <t>AI BCF to wiki</t>
        </is>
      </c>
      <c r="D66" s="157" t="inlineStr">
        <is>
          <t>RG.5</t>
        </is>
      </c>
      <c r="E66" s="157" t="inlineStr">
        <is>
          <t>Register</t>
        </is>
      </c>
      <c r="F66" s="157" t="inlineStr">
        <is>
          <t>AI-CTRL-007, AI-CTRL-013, AI-CTRL-014</t>
        </is>
      </c>
      <c r="G66" s="157" t="inlineStr">
        <is>
          <t>AI-R03, AI-R08, AI-R10, AI-R16, AI-R27, AI-R28</t>
        </is>
      </c>
      <c r="H66" s="157" t="inlineStr">
        <is>
          <t>Derived via mapped controls</t>
        </is>
      </c>
      <c r="I66" s="157" t="inlineStr">
        <is>
          <t>Direct</t>
        </is>
      </c>
      <c r="J66" s="157" t="inlineStr">
        <is>
          <t>Type: Baseline; Label (wiki paraphrase): AI risks and training exposure in supplier privacy assessments</t>
        </is>
      </c>
      <c r="K66" s="157" t="inlineStr">
        <is>
          <t>https://nachi065.github.io/AI-Security-Wiki/23_Framework_Crosswalks/02_AI_BCF_Crosswalk.html</t>
        </is>
      </c>
    </row>
    <row r="67">
      <c r="A67" s="6" t="inlineStr">
        <is>
          <t>Risk frameworks</t>
        </is>
      </c>
      <c r="B67" s="6" t="inlineStr">
        <is>
          <t>AI BCF</t>
        </is>
      </c>
      <c r="C67" s="6" t="inlineStr">
        <is>
          <t>AI BCF to wiki</t>
        </is>
      </c>
      <c r="D67" s="6" t="inlineStr">
        <is>
          <t>AC.1</t>
        </is>
      </c>
      <c r="E67" s="6" t="inlineStr">
        <is>
          <t>Access</t>
        </is>
      </c>
      <c r="F67" s="6" t="inlineStr">
        <is>
          <t>AI-CTRL-016, AI-CTRL-018</t>
        </is>
      </c>
      <c r="G67" s="6" t="inlineStr">
        <is>
          <t>AI-R06, AI-R07, AI-R08, AI-R22</t>
        </is>
      </c>
      <c r="H67" s="6" t="inlineStr">
        <is>
          <t>Derived via mapped controls</t>
        </is>
      </c>
      <c r="I67" s="6" t="inlineStr">
        <is>
          <t>Direct</t>
        </is>
      </c>
      <c r="J67" s="6" t="inlineStr">
        <is>
          <t>Type: Baseline; Label (wiki paraphrase): Access review before AI inherits users' rights</t>
        </is>
      </c>
      <c r="K67" s="6" t="inlineStr">
        <is>
          <t>https://nachi065.github.io/AI-Security-Wiki/23_Framework_Crosswalks/02_AI_BCF_Crosswalk.html</t>
        </is>
      </c>
    </row>
    <row r="68">
      <c r="A68" s="157" t="inlineStr">
        <is>
          <t>Risk frameworks</t>
        </is>
      </c>
      <c r="B68" s="157" t="inlineStr">
        <is>
          <t>AI BCF</t>
        </is>
      </c>
      <c r="C68" s="157" t="inlineStr">
        <is>
          <t>AI BCF to wiki</t>
        </is>
      </c>
      <c r="D68" s="157" t="inlineStr">
        <is>
          <t>AC.2</t>
        </is>
      </c>
      <c r="E68" s="157" t="inlineStr">
        <is>
          <t>Access</t>
        </is>
      </c>
      <c r="F68" s="157" t="inlineStr">
        <is>
          <t>AI-CTRL-015, AI-CTRL-016</t>
        </is>
      </c>
      <c r="G68" s="157" t="inlineStr">
        <is>
          <t>AI-R06, AI-R07, AI-R08, AI-R22, AI-R25</t>
        </is>
      </c>
      <c r="H68" s="157" t="inlineStr">
        <is>
          <t>Derived via mapped controls</t>
        </is>
      </c>
      <c r="I68" s="157" t="inlineStr">
        <is>
          <t>Direct</t>
        </is>
      </c>
      <c r="J68" s="157" t="inlineStr">
        <is>
          <t>Type: Trigger; Label (wiki paraphrase): Named identity and documented scope for AI with its own credentials</t>
        </is>
      </c>
      <c r="K68" s="157" t="inlineStr">
        <is>
          <t>https://nachi065.github.io/AI-Security-Wiki/23_Framework_Crosswalks/02_AI_BCF_Crosswalk.html</t>
        </is>
      </c>
    </row>
    <row r="69">
      <c r="A69" s="6" t="inlineStr">
        <is>
          <t>Risk frameworks</t>
        </is>
      </c>
      <c r="B69" s="6" t="inlineStr">
        <is>
          <t>AI BCF</t>
        </is>
      </c>
      <c r="C69" s="6" t="inlineStr">
        <is>
          <t>AI BCF to wiki</t>
        </is>
      </c>
      <c r="D69" s="6" t="inlineStr">
        <is>
          <t>AC.3</t>
        </is>
      </c>
      <c r="E69" s="6" t="inlineStr">
        <is>
          <t>Access</t>
        </is>
      </c>
      <c r="F69" s="6" t="inlineStr">
        <is>
          <t>AI-CTRL-006</t>
        </is>
      </c>
      <c r="G69" s="6" t="inlineStr">
        <is>
          <t>AI-R07, AI-R25</t>
        </is>
      </c>
      <c r="H69" s="6" t="inlineStr">
        <is>
          <t>Derived via mapped controls</t>
        </is>
      </c>
      <c r="I69" s="6" t="inlineStr">
        <is>
          <t>Direct</t>
        </is>
      </c>
      <c r="J69" s="6" t="inlineStr">
        <is>
          <t>Type: Trigger; Label (wiki paraphrase): Named owner for each autonomous AI system</t>
        </is>
      </c>
      <c r="K69" s="6" t="inlineStr">
        <is>
          <t>https://nachi065.github.io/AI-Security-Wiki/23_Framework_Crosswalks/02_AI_BCF_Crosswalk.html</t>
        </is>
      </c>
    </row>
    <row r="70">
      <c r="A70" s="157" t="inlineStr">
        <is>
          <t>Risk frameworks</t>
        </is>
      </c>
      <c r="B70" s="157" t="inlineStr">
        <is>
          <t>AI BCF</t>
        </is>
      </c>
      <c r="C70" s="157" t="inlineStr">
        <is>
          <t>AI BCF to wiki</t>
        </is>
      </c>
      <c r="D70" s="157" t="inlineStr">
        <is>
          <t>AC.4</t>
        </is>
      </c>
      <c r="E70" s="157" t="inlineStr">
        <is>
          <t>Access</t>
        </is>
      </c>
      <c r="F70" s="157" t="inlineStr">
        <is>
          <t>AI-CTRL-015, AI-CTRL-016</t>
        </is>
      </c>
      <c r="G70" s="157" t="inlineStr">
        <is>
          <t>AI-R06, AI-R07, AI-R08, AI-R22, AI-R25</t>
        </is>
      </c>
      <c r="H70" s="157" t="inlineStr">
        <is>
          <t>Derived via mapped controls</t>
        </is>
      </c>
      <c r="I70" s="157" t="inlineStr">
        <is>
          <t>Partial</t>
        </is>
      </c>
      <c r="J70" s="157" t="inlineStr">
        <is>
          <t>Type: Tier II; Label (wiki paraphrase): AI access rights granted under the access control model</t>
        </is>
      </c>
      <c r="K70" s="157" t="inlineStr">
        <is>
          <t>https://nachi065.github.io/AI-Security-Wiki/23_Framework_Crosswalks/02_AI_BCF_Crosswalk.html</t>
        </is>
      </c>
    </row>
    <row r="71">
      <c r="A71" s="6" t="inlineStr">
        <is>
          <t>Risk frameworks</t>
        </is>
      </c>
      <c r="B71" s="6" t="inlineStr">
        <is>
          <t>AI BCF</t>
        </is>
      </c>
      <c r="C71" s="6" t="inlineStr">
        <is>
          <t>AI BCF to wiki</t>
        </is>
      </c>
      <c r="D71" s="6" t="inlineStr">
        <is>
          <t>TR.1</t>
        </is>
      </c>
      <c r="E71" s="6" t="inlineStr">
        <is>
          <t>Track</t>
        </is>
      </c>
      <c r="F71" s="6" t="inlineStr">
        <is>
          <t>AI-CTRL-034, AI-CTRL-038</t>
        </is>
      </c>
      <c r="G71" s="6" t="inlineStr">
        <is>
          <t>AI-R05, AI-R07, AI-R09, AI-R15, AI-R16, AI-R17, AI-R20, AI-R28</t>
        </is>
      </c>
      <c r="H71" s="6" t="inlineStr">
        <is>
          <t>Derived via mapped controls</t>
        </is>
      </c>
      <c r="I71" s="6" t="inlineStr">
        <is>
          <t>Partial</t>
        </is>
      </c>
      <c r="J71" s="6" t="inlineStr">
        <is>
          <t>Type: Tier II; Label (wiki paraphrase): Performance indicators for deployed AI</t>
        </is>
      </c>
      <c r="K71" s="6" t="inlineStr">
        <is>
          <t>https://nachi065.github.io/AI-Security-Wiki/23_Framework_Crosswalks/02_AI_BCF_Crosswalk.html</t>
        </is>
      </c>
    </row>
    <row r="72">
      <c r="A72" s="157" t="inlineStr">
        <is>
          <t>Risk frameworks</t>
        </is>
      </c>
      <c r="B72" s="157" t="inlineStr">
        <is>
          <t>AI BCF</t>
        </is>
      </c>
      <c r="C72" s="157" t="inlineStr">
        <is>
          <t>AI BCF to wiki</t>
        </is>
      </c>
      <c r="D72" s="157" t="inlineStr">
        <is>
          <t>TR.2</t>
        </is>
      </c>
      <c r="E72" s="157" t="inlineStr">
        <is>
          <t>Track</t>
        </is>
      </c>
      <c r="F72" s="157" t="inlineStr">
        <is>
          <t>AI-CTRL-045</t>
        </is>
      </c>
      <c r="G72" s="157" t="inlineStr">
        <is>
          <t>AI-R07, AI-R12, AI-R14, AI-R18, AI-R19, AI-R28</t>
        </is>
      </c>
      <c r="H72" s="157" t="inlineStr">
        <is>
          <t>Derived via mapped controls</t>
        </is>
      </c>
      <c r="I72" s="157" t="inlineStr">
        <is>
          <t>Gap</t>
        </is>
      </c>
      <c r="J72" s="157" t="inlineStr">
        <is>
          <t>Type: Tier II; Label (wiki paraphrase): Internal feedback on AI usage collected and reviewed</t>
        </is>
      </c>
      <c r="K72" s="157" t="inlineStr">
        <is>
          <t>https://nachi065.github.io/AI-Security-Wiki/23_Framework_Crosswalks/02_AI_BCF_Crosswalk.html</t>
        </is>
      </c>
    </row>
    <row r="73">
      <c r="A73" s="6" t="inlineStr">
        <is>
          <t>Risk frameworks</t>
        </is>
      </c>
      <c r="B73" s="6" t="inlineStr">
        <is>
          <t>AI BCF</t>
        </is>
      </c>
      <c r="C73" s="6" t="inlineStr">
        <is>
          <t>AI BCF to wiki</t>
        </is>
      </c>
      <c r="D73" s="6" t="inlineStr">
        <is>
          <t>TR.3</t>
        </is>
      </c>
      <c r="E73" s="6" t="inlineStr">
        <is>
          <t>Track</t>
        </is>
      </c>
      <c r="F73" s="6" t="inlineStr">
        <is>
          <t>AI-CTRL-008, AI-CTRL-035, AI-CTRL-039</t>
        </is>
      </c>
      <c r="G73" s="6" t="inlineStr">
        <is>
          <t>AI-R09, AI-R12, AI-R14, AI-R15, AI-R20, AI-R26</t>
        </is>
      </c>
      <c r="H73" s="6" t="inlineStr">
        <is>
          <t>Derived via mapped controls</t>
        </is>
      </c>
      <c r="I73" s="6" t="inlineStr">
        <is>
          <t>Partial</t>
        </is>
      </c>
      <c r="J73" s="6" t="inlineStr">
        <is>
          <t>Type: Tier II; Label (wiki paraphrase): Errors in AI output logged and communicated</t>
        </is>
      </c>
      <c r="K73" s="6" t="inlineStr">
        <is>
          <t>https://nachi065.github.io/AI-Security-Wiki/23_Framework_Crosswalks/02_AI_BCF_Crosswalk.html</t>
        </is>
      </c>
    </row>
    <row r="74">
      <c r="A74" s="157" t="inlineStr">
        <is>
          <t>Risk frameworks</t>
        </is>
      </c>
      <c r="B74" s="157" t="inlineStr">
        <is>
          <t>NIST AI RMF 1.0</t>
        </is>
      </c>
      <c r="C74" s="157" t="inlineStr">
        <is>
          <t>Govern</t>
        </is>
      </c>
      <c r="D74" s="157" t="inlineStr">
        <is>
          <t>GOVERN 1.1</t>
        </is>
      </c>
      <c r="E74" s="157" t="inlineStr"/>
      <c r="F74" s="157" t="inlineStr">
        <is>
          <t>AI-CTRL-007, AI-CTRL-013, AI-CTRL-042, AI-CTRL-043</t>
        </is>
      </c>
      <c r="G74" s="157" t="inlineStr">
        <is>
          <t>AI-R03, AI-R09, AI-R10, AI-R12, AI-R27, AI-R28</t>
        </is>
      </c>
      <c r="H74" s="157" t="inlineStr">
        <is>
          <t>Derived via mapped controls</t>
        </is>
      </c>
      <c r="I74" s="157" t="inlineStr"/>
      <c r="J74" s="157" t="inlineStr">
        <is>
          <t>Test cases under those controls: 59; Test cases that cite it: 26</t>
        </is>
      </c>
      <c r="K74" s="157" t="inlineStr">
        <is>
          <t>https://nachi065.github.io/AI-Security-Wiki/23_Framework_Crosswalks/03_NIST_AI_RMF_Crosswalk.html</t>
        </is>
      </c>
    </row>
    <row r="75">
      <c r="A75" s="6" t="inlineStr">
        <is>
          <t>Risk frameworks</t>
        </is>
      </c>
      <c r="B75" s="6" t="inlineStr">
        <is>
          <t>NIST AI RMF 1.0</t>
        </is>
      </c>
      <c r="C75" s="6" t="inlineStr">
        <is>
          <t>Govern</t>
        </is>
      </c>
      <c r="D75" s="6" t="inlineStr">
        <is>
          <t>GOVERN 1.2</t>
        </is>
      </c>
      <c r="E75" s="6" t="inlineStr"/>
      <c r="F75" s="6" t="inlineStr">
        <is>
          <t>AI-CTRL-012</t>
        </is>
      </c>
      <c r="G75" s="6" t="inlineStr">
        <is>
          <t>AI-R02, AI-R03, AI-R18, AI-R19, AI-R27, AI-R28</t>
        </is>
      </c>
      <c r="H75" s="6" t="inlineStr">
        <is>
          <t>Derived via mapped controls</t>
        </is>
      </c>
      <c r="I75" s="6" t="inlineStr"/>
      <c r="J75" s="6" t="inlineStr">
        <is>
          <t>Test cases under those controls: 8; Test cases that cite it: 0</t>
        </is>
      </c>
      <c r="K75" s="6" t="inlineStr">
        <is>
          <t>https://nachi065.github.io/AI-Security-Wiki/23_Framework_Crosswalks/03_NIST_AI_RMF_Crosswalk.html</t>
        </is>
      </c>
    </row>
    <row r="76">
      <c r="A76" s="157" t="inlineStr">
        <is>
          <t>Risk frameworks</t>
        </is>
      </c>
      <c r="B76" s="157" t="inlineStr">
        <is>
          <t>NIST AI RMF 1.0</t>
        </is>
      </c>
      <c r="C76" s="157" t="inlineStr">
        <is>
          <t>Govern</t>
        </is>
      </c>
      <c r="D76" s="157" t="inlineStr">
        <is>
          <t>GOVERN 1.3</t>
        </is>
      </c>
      <c r="E76" s="157" t="inlineStr"/>
      <c r="F76" s="157" t="inlineStr">
        <is>
          <t>AI-CTRL-011, AI-CTRL-037</t>
        </is>
      </c>
      <c r="G76" s="157" t="inlineStr">
        <is>
          <t>AI-R02, AI-R18, AI-R28, AI-R55</t>
        </is>
      </c>
      <c r="H76" s="157" t="inlineStr">
        <is>
          <t>Derived via mapped controls</t>
        </is>
      </c>
      <c r="I76" s="157" t="inlineStr"/>
      <c r="J76" s="157" t="inlineStr">
        <is>
          <t>Test cases under those controls: 29; Test cases that cite it: 2</t>
        </is>
      </c>
      <c r="K76" s="157" t="inlineStr">
        <is>
          <t>https://nachi065.github.io/AI-Security-Wiki/23_Framework_Crosswalks/03_NIST_AI_RMF_Crosswalk.html</t>
        </is>
      </c>
    </row>
    <row r="77">
      <c r="A77" s="6" t="inlineStr">
        <is>
          <t>Risk frameworks</t>
        </is>
      </c>
      <c r="B77" s="6" t="inlineStr">
        <is>
          <t>NIST AI RMF 1.0</t>
        </is>
      </c>
      <c r="C77" s="6" t="inlineStr">
        <is>
          <t>Govern</t>
        </is>
      </c>
      <c r="D77" s="6" t="inlineStr">
        <is>
          <t>GOVERN 1.4</t>
        </is>
      </c>
      <c r="E77" s="6" t="inlineStr"/>
      <c r="F77" s="6" t="inlineStr">
        <is>
          <t>AI-CTRL-010, AI-CTRL-012</t>
        </is>
      </c>
      <c r="G77" s="6" t="inlineStr">
        <is>
          <t>AI-R01, AI-R02, AI-R03, AI-R18, AI-R19, AI-R27, AI-R28</t>
        </is>
      </c>
      <c r="H77" s="6" t="inlineStr">
        <is>
          <t>Derived via mapped controls</t>
        </is>
      </c>
      <c r="I77" s="6" t="inlineStr"/>
      <c r="J77" s="6" t="inlineStr">
        <is>
          <t>Test cases under those controls: 34; Test cases that cite it: 70</t>
        </is>
      </c>
      <c r="K77" s="6" t="inlineStr">
        <is>
          <t>https://nachi065.github.io/AI-Security-Wiki/23_Framework_Crosswalks/03_NIST_AI_RMF_Crosswalk.html</t>
        </is>
      </c>
    </row>
    <row r="78">
      <c r="A78" s="157" t="inlineStr">
        <is>
          <t>Risk frameworks</t>
        </is>
      </c>
      <c r="B78" s="157" t="inlineStr">
        <is>
          <t>NIST AI RMF 1.0</t>
        </is>
      </c>
      <c r="C78" s="157" t="inlineStr">
        <is>
          <t>Govern</t>
        </is>
      </c>
      <c r="D78" s="157" t="inlineStr">
        <is>
          <t>GOVERN 1.5</t>
        </is>
      </c>
      <c r="E78" s="157" t="inlineStr"/>
      <c r="F78" s="157" t="inlineStr">
        <is>
          <t>AI-CTRL-038</t>
        </is>
      </c>
      <c r="G78" s="157" t="inlineStr">
        <is>
          <t>AI-R09, AI-R15, AI-R28</t>
        </is>
      </c>
      <c r="H78" s="157" t="inlineStr">
        <is>
          <t>Derived via mapped controls</t>
        </is>
      </c>
      <c r="I78" s="157" t="inlineStr"/>
      <c r="J78" s="157" t="inlineStr">
        <is>
          <t>Test cases under those controls: 17; Test cases that cite it: 3</t>
        </is>
      </c>
      <c r="K78" s="157" t="inlineStr">
        <is>
          <t>https://nachi065.github.io/AI-Security-Wiki/23_Framework_Crosswalks/03_NIST_AI_RMF_Crosswalk.html</t>
        </is>
      </c>
    </row>
    <row r="79">
      <c r="A79" s="6" t="inlineStr">
        <is>
          <t>Risk frameworks</t>
        </is>
      </c>
      <c r="B79" s="6" t="inlineStr">
        <is>
          <t>NIST AI RMF 1.0</t>
        </is>
      </c>
      <c r="C79" s="6" t="inlineStr">
        <is>
          <t>Govern</t>
        </is>
      </c>
      <c r="D79" s="6" t="inlineStr">
        <is>
          <t>GOVERN 1.6</t>
        </is>
      </c>
      <c r="E79" s="6" t="inlineStr"/>
      <c r="F79" s="6" t="inlineStr">
        <is>
          <t>AI-CTRL-001, AI-CTRL-006, AI-CTRL-011</t>
        </is>
      </c>
      <c r="G79" s="6" t="inlineStr">
        <is>
          <t>AI-R02, AI-R07, AI-R18, AI-R25</t>
        </is>
      </c>
      <c r="H79" s="6" t="inlineStr">
        <is>
          <t>Derived via mapped controls</t>
        </is>
      </c>
      <c r="I79" s="6" t="inlineStr"/>
      <c r="J79" s="6" t="inlineStr">
        <is>
          <t>Test cases under those controls: 63; Test cases that cite it: 5</t>
        </is>
      </c>
      <c r="K79" s="6" t="inlineStr">
        <is>
          <t>https://nachi065.github.io/AI-Security-Wiki/23_Framework_Crosswalks/03_NIST_AI_RMF_Crosswalk.html</t>
        </is>
      </c>
    </row>
    <row r="80">
      <c r="A80" s="157" t="inlineStr">
        <is>
          <t>Risk frameworks</t>
        </is>
      </c>
      <c r="B80" s="157" t="inlineStr">
        <is>
          <t>NIST AI RMF 1.0</t>
        </is>
      </c>
      <c r="C80" s="157" t="inlineStr">
        <is>
          <t>Govern</t>
        </is>
      </c>
      <c r="D80" s="157" t="inlineStr">
        <is>
          <t>GOVERN 1.7</t>
        </is>
      </c>
      <c r="E80" s="157" t="inlineStr"/>
      <c r="F80" s="157" t="inlineStr">
        <is>
          <t>AI-CTRL-011</t>
        </is>
      </c>
      <c r="G80" s="157" t="inlineStr">
        <is>
          <t>AI-R02, AI-R18</t>
        </is>
      </c>
      <c r="H80" s="157" t="inlineStr">
        <is>
          <t>Derived via mapped controls</t>
        </is>
      </c>
      <c r="I80" s="157" t="inlineStr"/>
      <c r="J80" s="157" t="inlineStr">
        <is>
          <t>Test cases under those controls: 19; Test cases that cite it: 4</t>
        </is>
      </c>
      <c r="K80" s="157" t="inlineStr">
        <is>
          <t>https://nachi065.github.io/AI-Security-Wiki/23_Framework_Crosswalks/03_NIST_AI_RMF_Crosswalk.html</t>
        </is>
      </c>
    </row>
    <row r="81">
      <c r="A81" s="6" t="inlineStr">
        <is>
          <t>Risk frameworks</t>
        </is>
      </c>
      <c r="B81" s="6" t="inlineStr">
        <is>
          <t>NIST AI RMF 1.0</t>
        </is>
      </c>
      <c r="C81" s="6" t="inlineStr">
        <is>
          <t>Govern</t>
        </is>
      </c>
      <c r="D81" s="6" t="inlineStr">
        <is>
          <t>GOVERN 2.1</t>
        </is>
      </c>
      <c r="E81" s="6" t="inlineStr"/>
      <c r="F81" s="6" t="inlineStr">
        <is>
          <t>AI-CTRL-012</t>
        </is>
      </c>
      <c r="G81" s="6" t="inlineStr">
        <is>
          <t>AI-R02, AI-R03, AI-R18, AI-R19, AI-R27, AI-R28</t>
        </is>
      </c>
      <c r="H81" s="6" t="inlineStr">
        <is>
          <t>Derived via mapped controls</t>
        </is>
      </c>
      <c r="I81" s="6" t="inlineStr"/>
      <c r="J81" s="6" t="inlineStr">
        <is>
          <t>Test cases under those controls: 8; Test cases that cite it: 9</t>
        </is>
      </c>
      <c r="K81" s="6" t="inlineStr">
        <is>
          <t>https://nachi065.github.io/AI-Security-Wiki/23_Framework_Crosswalks/03_NIST_AI_RMF_Crosswalk.html</t>
        </is>
      </c>
    </row>
    <row r="82">
      <c r="A82" s="157" t="inlineStr">
        <is>
          <t>Risk frameworks</t>
        </is>
      </c>
      <c r="B82" s="157" t="inlineStr">
        <is>
          <t>NIST AI RMF 1.0</t>
        </is>
      </c>
      <c r="C82" s="157" t="inlineStr">
        <is>
          <t>Govern</t>
        </is>
      </c>
      <c r="D82" s="157" t="inlineStr">
        <is>
          <t>GOVERN 2.2</t>
        </is>
      </c>
      <c r="E82" s="157" t="inlineStr"/>
      <c r="F82" s="157" t="inlineStr">
        <is>
          <t>AI-CTRL-012, AI-CTRL-044</t>
        </is>
      </c>
      <c r="G82" s="157" t="inlineStr">
        <is>
          <t>AI-R02, AI-R03, AI-R18, AI-R19, AI-R27, AI-R28</t>
        </is>
      </c>
      <c r="H82" s="157" t="inlineStr">
        <is>
          <t>Derived via mapped controls</t>
        </is>
      </c>
      <c r="I82" s="157" t="inlineStr"/>
      <c r="J82" s="157" t="inlineStr">
        <is>
          <t>Test cases under those controls: 10; Test cases that cite it: 0</t>
        </is>
      </c>
      <c r="K82" s="157" t="inlineStr">
        <is>
          <t>https://nachi065.github.io/AI-Security-Wiki/23_Framework_Crosswalks/03_NIST_AI_RMF_Crosswalk.html</t>
        </is>
      </c>
    </row>
    <row r="83">
      <c r="A83" s="6" t="inlineStr">
        <is>
          <t>Risk frameworks</t>
        </is>
      </c>
      <c r="B83" s="6" t="inlineStr">
        <is>
          <t>NIST AI RMF 1.0</t>
        </is>
      </c>
      <c r="C83" s="6" t="inlineStr">
        <is>
          <t>Govern</t>
        </is>
      </c>
      <c r="D83" s="6" t="inlineStr">
        <is>
          <t>GOVERN 2.3</t>
        </is>
      </c>
      <c r="E83" s="6" t="inlineStr">
        <is>
          <t>None</t>
        </is>
      </c>
      <c r="F83" s="6" t="inlineStr">
        <is>
          <t>None</t>
        </is>
      </c>
      <c r="G83" s="6" t="inlineStr">
        <is>
          <t>None</t>
        </is>
      </c>
      <c r="H83" s="6" t="inlineStr">
        <is>
          <t>Derived via mapped controls</t>
        </is>
      </c>
      <c r="I83" s="6" t="inlineStr"/>
      <c r="J83" s="6" t="inlineStr">
        <is>
          <t>Test cases under those controls: 0; Test cases that cite it: 0</t>
        </is>
      </c>
      <c r="K83" s="6" t="inlineStr">
        <is>
          <t>https://nachi065.github.io/AI-Security-Wiki/23_Framework_Crosswalks/03_NIST_AI_RMF_Crosswalk.html</t>
        </is>
      </c>
    </row>
    <row r="84">
      <c r="A84" s="157" t="inlineStr">
        <is>
          <t>Risk frameworks</t>
        </is>
      </c>
      <c r="B84" s="157" t="inlineStr">
        <is>
          <t>NIST AI RMF 1.0</t>
        </is>
      </c>
      <c r="C84" s="157" t="inlineStr">
        <is>
          <t>Govern</t>
        </is>
      </c>
      <c r="D84" s="157" t="inlineStr">
        <is>
          <t>GOVERN 3.1</t>
        </is>
      </c>
      <c r="E84" s="157" t="inlineStr">
        <is>
          <t>None</t>
        </is>
      </c>
      <c r="F84" s="157" t="inlineStr">
        <is>
          <t>None</t>
        </is>
      </c>
      <c r="G84" s="157" t="inlineStr">
        <is>
          <t>None</t>
        </is>
      </c>
      <c r="H84" s="157" t="inlineStr">
        <is>
          <t>Derived via mapped controls</t>
        </is>
      </c>
      <c r="I84" s="157" t="inlineStr"/>
      <c r="J84" s="157" t="inlineStr">
        <is>
          <t>Test cases under those controls: 0; Test cases that cite it: 0</t>
        </is>
      </c>
      <c r="K84" s="157" t="inlineStr">
        <is>
          <t>https://nachi065.github.io/AI-Security-Wiki/23_Framework_Crosswalks/03_NIST_AI_RMF_Crosswalk.html</t>
        </is>
      </c>
    </row>
    <row r="85">
      <c r="A85" s="6" t="inlineStr">
        <is>
          <t>Risk frameworks</t>
        </is>
      </c>
      <c r="B85" s="6" t="inlineStr">
        <is>
          <t>NIST AI RMF 1.0</t>
        </is>
      </c>
      <c r="C85" s="6" t="inlineStr">
        <is>
          <t>Govern</t>
        </is>
      </c>
      <c r="D85" s="6" t="inlineStr">
        <is>
          <t>GOVERN 3.2</t>
        </is>
      </c>
      <c r="E85" s="6" t="inlineStr"/>
      <c r="F85" s="6" t="inlineStr">
        <is>
          <t>AI-CTRL-023, AI-CTRL-045</t>
        </is>
      </c>
      <c r="G85" s="6" t="inlineStr">
        <is>
          <t>AI-R07, AI-R12, AI-R14, AI-R18, AI-R19, AI-R28</t>
        </is>
      </c>
      <c r="H85" s="6" t="inlineStr">
        <is>
          <t>Derived via mapped controls</t>
        </is>
      </c>
      <c r="I85" s="6" t="inlineStr"/>
      <c r="J85" s="6" t="inlineStr">
        <is>
          <t>Test cases under those controls: 10; Test cases that cite it: 0</t>
        </is>
      </c>
      <c r="K85" s="6" t="inlineStr">
        <is>
          <t>https://nachi065.github.io/AI-Security-Wiki/23_Framework_Crosswalks/03_NIST_AI_RMF_Crosswalk.html</t>
        </is>
      </c>
    </row>
    <row r="86">
      <c r="A86" s="157" t="inlineStr">
        <is>
          <t>Risk frameworks</t>
        </is>
      </c>
      <c r="B86" s="157" t="inlineStr">
        <is>
          <t>NIST AI RMF 1.0</t>
        </is>
      </c>
      <c r="C86" s="157" t="inlineStr">
        <is>
          <t>Govern</t>
        </is>
      </c>
      <c r="D86" s="157" t="inlineStr">
        <is>
          <t>GOVERN 4.1</t>
        </is>
      </c>
      <c r="E86" s="157" t="inlineStr">
        <is>
          <t>None</t>
        </is>
      </c>
      <c r="F86" s="157" t="inlineStr">
        <is>
          <t>None</t>
        </is>
      </c>
      <c r="G86" s="157" t="inlineStr">
        <is>
          <t>None</t>
        </is>
      </c>
      <c r="H86" s="157" t="inlineStr">
        <is>
          <t>Derived via mapped controls</t>
        </is>
      </c>
      <c r="I86" s="157" t="inlineStr"/>
      <c r="J86" s="157" t="inlineStr">
        <is>
          <t>Test cases under those controls: 0; Test cases that cite it: 0</t>
        </is>
      </c>
      <c r="K86" s="157" t="inlineStr">
        <is>
          <t>https://nachi065.github.io/AI-Security-Wiki/23_Framework_Crosswalks/03_NIST_AI_RMF_Crosswalk.html</t>
        </is>
      </c>
    </row>
    <row r="87">
      <c r="A87" s="6" t="inlineStr">
        <is>
          <t>Risk frameworks</t>
        </is>
      </c>
      <c r="B87" s="6" t="inlineStr">
        <is>
          <t>NIST AI RMF 1.0</t>
        </is>
      </c>
      <c r="C87" s="6" t="inlineStr">
        <is>
          <t>Govern</t>
        </is>
      </c>
      <c r="D87" s="6" t="inlineStr">
        <is>
          <t>GOVERN 4.2</t>
        </is>
      </c>
      <c r="E87" s="6" t="inlineStr"/>
      <c r="F87" s="6" t="inlineStr">
        <is>
          <t>AI-CTRL-033</t>
        </is>
      </c>
      <c r="G87" s="6" t="inlineStr">
        <is>
          <t>AI-R05, AI-R07, AI-R08, AI-R14, AI-R16, AI-R55</t>
        </is>
      </c>
      <c r="H87" s="6" t="inlineStr">
        <is>
          <t>Derived via mapped controls</t>
        </is>
      </c>
      <c r="I87" s="6" t="inlineStr"/>
      <c r="J87" s="6" t="inlineStr">
        <is>
          <t>Test cases under those controls: 8; Test cases that cite it: 0</t>
        </is>
      </c>
      <c r="K87" s="6" t="inlineStr">
        <is>
          <t>https://nachi065.github.io/AI-Security-Wiki/23_Framework_Crosswalks/03_NIST_AI_RMF_Crosswalk.html</t>
        </is>
      </c>
    </row>
    <row r="88">
      <c r="A88" s="157" t="inlineStr">
        <is>
          <t>Risk frameworks</t>
        </is>
      </c>
      <c r="B88" s="157" t="inlineStr">
        <is>
          <t>NIST AI RMF 1.0</t>
        </is>
      </c>
      <c r="C88" s="157" t="inlineStr">
        <is>
          <t>Govern</t>
        </is>
      </c>
      <c r="D88" s="157" t="inlineStr">
        <is>
          <t>GOVERN 4.3</t>
        </is>
      </c>
      <c r="E88" s="157" t="inlineStr"/>
      <c r="F88" s="157" t="inlineStr">
        <is>
          <t>AI-CTRL-034, AI-CTRL-035</t>
        </is>
      </c>
      <c r="G88" s="157" t="inlineStr">
        <is>
          <t>AI-R05, AI-R07, AI-R09, AI-R16, AI-R17, AI-R20</t>
        </is>
      </c>
      <c r="H88" s="157" t="inlineStr">
        <is>
          <t>Derived via mapped controls</t>
        </is>
      </c>
      <c r="I88" s="157" t="inlineStr"/>
      <c r="J88" s="157" t="inlineStr">
        <is>
          <t>Test cases under those controls: 77; Test cases that cite it: 4</t>
        </is>
      </c>
      <c r="K88" s="157" t="inlineStr">
        <is>
          <t>https://nachi065.github.io/AI-Security-Wiki/23_Framework_Crosswalks/03_NIST_AI_RMF_Crosswalk.html</t>
        </is>
      </c>
    </row>
    <row r="89">
      <c r="A89" s="6" t="inlineStr">
        <is>
          <t>Risk frameworks</t>
        </is>
      </c>
      <c r="B89" s="6" t="inlineStr">
        <is>
          <t>NIST AI RMF 1.0</t>
        </is>
      </c>
      <c r="C89" s="6" t="inlineStr">
        <is>
          <t>Govern</t>
        </is>
      </c>
      <c r="D89" s="6" t="inlineStr">
        <is>
          <t>GOVERN 5.1</t>
        </is>
      </c>
      <c r="E89" s="6" t="inlineStr"/>
      <c r="F89" s="6" t="inlineStr">
        <is>
          <t>AI-CTRL-043</t>
        </is>
      </c>
      <c r="G89" s="6" t="inlineStr">
        <is>
          <t>AI-R09, AI-R10</t>
        </is>
      </c>
      <c r="H89" s="6" t="inlineStr">
        <is>
          <t>Derived via mapped controls</t>
        </is>
      </c>
      <c r="I89" s="6" t="inlineStr"/>
      <c r="J89" s="6" t="inlineStr">
        <is>
          <t>Test cases under those controls: 4; Test cases that cite it: 0</t>
        </is>
      </c>
      <c r="K89" s="6" t="inlineStr">
        <is>
          <t>https://nachi065.github.io/AI-Security-Wiki/23_Framework_Crosswalks/03_NIST_AI_RMF_Crosswalk.html</t>
        </is>
      </c>
    </row>
    <row r="90">
      <c r="A90" s="157" t="inlineStr">
        <is>
          <t>Risk frameworks</t>
        </is>
      </c>
      <c r="B90" s="157" t="inlineStr">
        <is>
          <t>NIST AI RMF 1.0</t>
        </is>
      </c>
      <c r="C90" s="157" t="inlineStr">
        <is>
          <t>Govern</t>
        </is>
      </c>
      <c r="D90" s="157" t="inlineStr">
        <is>
          <t>GOVERN 5.2</t>
        </is>
      </c>
      <c r="E90" s="157" t="inlineStr">
        <is>
          <t>None</t>
        </is>
      </c>
      <c r="F90" s="157" t="inlineStr">
        <is>
          <t>None</t>
        </is>
      </c>
      <c r="G90" s="157" t="inlineStr">
        <is>
          <t>None</t>
        </is>
      </c>
      <c r="H90" s="157" t="inlineStr">
        <is>
          <t>Derived via mapped controls</t>
        </is>
      </c>
      <c r="I90" s="157" t="inlineStr"/>
      <c r="J90" s="157" t="inlineStr">
        <is>
          <t>Test cases under those controls: 0; Test cases that cite it: 0</t>
        </is>
      </c>
      <c r="K90" s="157" t="inlineStr">
        <is>
          <t>https://nachi065.github.io/AI-Security-Wiki/23_Framework_Crosswalks/03_NIST_AI_RMF_Crosswalk.html</t>
        </is>
      </c>
    </row>
    <row r="91">
      <c r="A91" s="6" t="inlineStr">
        <is>
          <t>Risk frameworks</t>
        </is>
      </c>
      <c r="B91" s="6" t="inlineStr">
        <is>
          <t>NIST AI RMF 1.0</t>
        </is>
      </c>
      <c r="C91" s="6" t="inlineStr">
        <is>
          <t>Govern</t>
        </is>
      </c>
      <c r="D91" s="6" t="inlineStr">
        <is>
          <t>GOVERN 6.1</t>
        </is>
      </c>
      <c r="E91" s="6" t="inlineStr"/>
      <c r="F91" s="6" t="inlineStr">
        <is>
          <t>AI-CTRL-001, AI-CTRL-004, AI-CTRL-007, AI-CTRL-014, AI-CTRL-024, AI-CTRL-031</t>
        </is>
      </c>
      <c r="G91" s="6" t="inlineStr">
        <is>
          <t>AI-R02, AI-R04, AI-R07, AI-R08, AI-R10, AI-R16, AI-R22, AI-R23, AI-R24</t>
        </is>
      </c>
      <c r="H91" s="6" t="inlineStr">
        <is>
          <t>Derived via mapped controls</t>
        </is>
      </c>
      <c r="I91" s="6" t="inlineStr"/>
      <c r="J91" s="6" t="inlineStr">
        <is>
          <t>Test cases under those controls: 123; Test cases that cite it: 88</t>
        </is>
      </c>
      <c r="K91" s="6" t="inlineStr">
        <is>
          <t>https://nachi065.github.io/AI-Security-Wiki/23_Framework_Crosswalks/03_NIST_AI_RMF_Crosswalk.html</t>
        </is>
      </c>
    </row>
    <row r="92">
      <c r="A92" s="157" t="inlineStr">
        <is>
          <t>Risk frameworks</t>
        </is>
      </c>
      <c r="B92" s="157" t="inlineStr">
        <is>
          <t>NIST AI RMF 1.0</t>
        </is>
      </c>
      <c r="C92" s="157" t="inlineStr">
        <is>
          <t>Govern</t>
        </is>
      </c>
      <c r="D92" s="157" t="inlineStr">
        <is>
          <t>GOVERN 6.2</t>
        </is>
      </c>
      <c r="E92" s="157" t="inlineStr"/>
      <c r="F92" s="157" t="inlineStr">
        <is>
          <t>AI-CTRL-014, AI-CTRL-035, AI-CTRL-040</t>
        </is>
      </c>
      <c r="G92" s="157" t="inlineStr">
        <is>
          <t>AI-R08, AI-R09, AI-R10, AI-R13, AI-R16, AI-R20</t>
        </is>
      </c>
      <c r="H92" s="157" t="inlineStr">
        <is>
          <t>Derived via mapped controls</t>
        </is>
      </c>
      <c r="I92" s="157" t="inlineStr"/>
      <c r="J92" s="157" t="inlineStr">
        <is>
          <t>Test cases under those controls: 76; Test cases that cite it: 3</t>
        </is>
      </c>
      <c r="K92" s="157" t="inlineStr">
        <is>
          <t>https://nachi065.github.io/AI-Security-Wiki/23_Framework_Crosswalks/03_NIST_AI_RMF_Crosswalk.html</t>
        </is>
      </c>
    </row>
    <row r="93">
      <c r="A93" s="6" t="inlineStr">
        <is>
          <t>Risk frameworks</t>
        </is>
      </c>
      <c r="B93" s="6" t="inlineStr">
        <is>
          <t>NIST AI RMF 1.0</t>
        </is>
      </c>
      <c r="C93" s="6" t="inlineStr">
        <is>
          <t>Map</t>
        </is>
      </c>
      <c r="D93" s="6" t="inlineStr">
        <is>
          <t>MAP 1.1</t>
        </is>
      </c>
      <c r="E93" s="6" t="inlineStr"/>
      <c r="F93" s="6" t="inlineStr">
        <is>
          <t>AI-CTRL-011, AI-CTRL-042</t>
        </is>
      </c>
      <c r="G93" s="6" t="inlineStr">
        <is>
          <t>AI-R02, AI-R10, AI-R12, AI-R18, AI-R28</t>
        </is>
      </c>
      <c r="H93" s="6" t="inlineStr">
        <is>
          <t>Derived via mapped controls</t>
        </is>
      </c>
      <c r="I93" s="6" t="inlineStr"/>
      <c r="J93" s="6" t="inlineStr">
        <is>
          <t>Test cases under those controls: 23; Test cases that cite it: 36</t>
        </is>
      </c>
      <c r="K93" s="6" t="inlineStr">
        <is>
          <t>https://nachi065.github.io/AI-Security-Wiki/23_Framework_Crosswalks/03_NIST_AI_RMF_Crosswalk.html</t>
        </is>
      </c>
    </row>
    <row r="94">
      <c r="A94" s="157" t="inlineStr">
        <is>
          <t>Risk frameworks</t>
        </is>
      </c>
      <c r="B94" s="157" t="inlineStr">
        <is>
          <t>NIST AI RMF 1.0</t>
        </is>
      </c>
      <c r="C94" s="157" t="inlineStr">
        <is>
          <t>Map</t>
        </is>
      </c>
      <c r="D94" s="157" t="inlineStr">
        <is>
          <t>MAP 1.2</t>
        </is>
      </c>
      <c r="E94" s="157" t="inlineStr">
        <is>
          <t>None</t>
        </is>
      </c>
      <c r="F94" s="157" t="inlineStr">
        <is>
          <t>None</t>
        </is>
      </c>
      <c r="G94" s="157" t="inlineStr">
        <is>
          <t>None</t>
        </is>
      </c>
      <c r="H94" s="157" t="inlineStr">
        <is>
          <t>Derived via mapped controls</t>
        </is>
      </c>
      <c r="I94" s="157" t="inlineStr"/>
      <c r="J94" s="157" t="inlineStr">
        <is>
          <t>Test cases under those controls: 0; Test cases that cite it: 0</t>
        </is>
      </c>
      <c r="K94" s="157" t="inlineStr">
        <is>
          <t>https://nachi065.github.io/AI-Security-Wiki/23_Framework_Crosswalks/03_NIST_AI_RMF_Crosswalk.html</t>
        </is>
      </c>
    </row>
    <row r="95">
      <c r="A95" s="6" t="inlineStr">
        <is>
          <t>Risk frameworks</t>
        </is>
      </c>
      <c r="B95" s="6" t="inlineStr">
        <is>
          <t>NIST AI RMF 1.0</t>
        </is>
      </c>
      <c r="C95" s="6" t="inlineStr">
        <is>
          <t>Map</t>
        </is>
      </c>
      <c r="D95" s="6" t="inlineStr">
        <is>
          <t>MAP 1.3</t>
        </is>
      </c>
      <c r="E95" s="6" t="inlineStr">
        <is>
          <t>None</t>
        </is>
      </c>
      <c r="F95" s="6" t="inlineStr">
        <is>
          <t>None</t>
        </is>
      </c>
      <c r="G95" s="6" t="inlineStr">
        <is>
          <t>None</t>
        </is>
      </c>
      <c r="H95" s="6" t="inlineStr">
        <is>
          <t>Derived via mapped controls</t>
        </is>
      </c>
      <c r="I95" s="6" t="inlineStr"/>
      <c r="J95" s="6" t="inlineStr">
        <is>
          <t>Test cases under those controls: 0; Test cases that cite it: 0</t>
        </is>
      </c>
      <c r="K95" s="6" t="inlineStr">
        <is>
          <t>https://nachi065.github.io/AI-Security-Wiki/23_Framework_Crosswalks/03_NIST_AI_RMF_Crosswalk.html</t>
        </is>
      </c>
    </row>
    <row r="96">
      <c r="A96" s="157" t="inlineStr">
        <is>
          <t>Risk frameworks</t>
        </is>
      </c>
      <c r="B96" s="157" t="inlineStr">
        <is>
          <t>NIST AI RMF 1.0</t>
        </is>
      </c>
      <c r="C96" s="157" t="inlineStr">
        <is>
          <t>Map</t>
        </is>
      </c>
      <c r="D96" s="157" t="inlineStr">
        <is>
          <t>MAP 1.4</t>
        </is>
      </c>
      <c r="E96" s="157" t="inlineStr">
        <is>
          <t>None</t>
        </is>
      </c>
      <c r="F96" s="157" t="inlineStr">
        <is>
          <t>None</t>
        </is>
      </c>
      <c r="G96" s="157" t="inlineStr">
        <is>
          <t>None</t>
        </is>
      </c>
      <c r="H96" s="157" t="inlineStr">
        <is>
          <t>Derived via mapped controls</t>
        </is>
      </c>
      <c r="I96" s="157" t="inlineStr"/>
      <c r="J96" s="157" t="inlineStr">
        <is>
          <t>Test cases under those controls: 0; Test cases that cite it: 0</t>
        </is>
      </c>
      <c r="K96" s="157" t="inlineStr">
        <is>
          <t>https://nachi065.github.io/AI-Security-Wiki/23_Framework_Crosswalks/03_NIST_AI_RMF_Crosswalk.html</t>
        </is>
      </c>
    </row>
    <row r="97">
      <c r="A97" s="6" t="inlineStr">
        <is>
          <t>Risk frameworks</t>
        </is>
      </c>
      <c r="B97" s="6" t="inlineStr">
        <is>
          <t>NIST AI RMF 1.0</t>
        </is>
      </c>
      <c r="C97" s="6" t="inlineStr">
        <is>
          <t>Map</t>
        </is>
      </c>
      <c r="D97" s="6" t="inlineStr">
        <is>
          <t>MAP 1.5</t>
        </is>
      </c>
      <c r="E97" s="6" t="inlineStr"/>
      <c r="F97" s="6" t="inlineStr">
        <is>
          <t>AI-CTRL-037</t>
        </is>
      </c>
      <c r="G97" s="6" t="inlineStr">
        <is>
          <t>AI-R02, AI-R18, AI-R28, AI-R55</t>
        </is>
      </c>
      <c r="H97" s="6" t="inlineStr">
        <is>
          <t>Derived via mapped controls</t>
        </is>
      </c>
      <c r="I97" s="6" t="inlineStr"/>
      <c r="J97" s="6" t="inlineStr">
        <is>
          <t>Test cases under those controls: 10; Test cases that cite it: 0</t>
        </is>
      </c>
      <c r="K97" s="6" t="inlineStr">
        <is>
          <t>https://nachi065.github.io/AI-Security-Wiki/23_Framework_Crosswalks/03_NIST_AI_RMF_Crosswalk.html</t>
        </is>
      </c>
    </row>
    <row r="98">
      <c r="A98" s="157" t="inlineStr">
        <is>
          <t>Risk frameworks</t>
        </is>
      </c>
      <c r="B98" s="157" t="inlineStr">
        <is>
          <t>NIST AI RMF 1.0</t>
        </is>
      </c>
      <c r="C98" s="157" t="inlineStr">
        <is>
          <t>Map</t>
        </is>
      </c>
      <c r="D98" s="157" t="inlineStr">
        <is>
          <t>MAP 1.6</t>
        </is>
      </c>
      <c r="E98" s="157" t="inlineStr">
        <is>
          <t>None</t>
        </is>
      </c>
      <c r="F98" s="157" t="inlineStr">
        <is>
          <t>None</t>
        </is>
      </c>
      <c r="G98" s="157" t="inlineStr">
        <is>
          <t>None</t>
        </is>
      </c>
      <c r="H98" s="157" t="inlineStr">
        <is>
          <t>Derived via mapped controls</t>
        </is>
      </c>
      <c r="I98" s="157" t="inlineStr"/>
      <c r="J98" s="157" t="inlineStr">
        <is>
          <t>Test cases under those controls: 0; Test cases that cite it: 0</t>
        </is>
      </c>
      <c r="K98" s="157" t="inlineStr">
        <is>
          <t>https://nachi065.github.io/AI-Security-Wiki/23_Framework_Crosswalks/03_NIST_AI_RMF_Crosswalk.html</t>
        </is>
      </c>
    </row>
    <row r="99">
      <c r="A99" s="6" t="inlineStr">
        <is>
          <t>Risk frameworks</t>
        </is>
      </c>
      <c r="B99" s="6" t="inlineStr">
        <is>
          <t>NIST AI RMF 1.0</t>
        </is>
      </c>
      <c r="C99" s="6" t="inlineStr">
        <is>
          <t>Map</t>
        </is>
      </c>
      <c r="D99" s="6" t="inlineStr">
        <is>
          <t>MAP 2.1</t>
        </is>
      </c>
      <c r="E99" s="6" t="inlineStr">
        <is>
          <t>None</t>
        </is>
      </c>
      <c r="F99" s="6" t="inlineStr">
        <is>
          <t>None</t>
        </is>
      </c>
      <c r="G99" s="6" t="inlineStr">
        <is>
          <t>None</t>
        </is>
      </c>
      <c r="H99" s="6" t="inlineStr">
        <is>
          <t>Derived via mapped controls</t>
        </is>
      </c>
      <c r="I99" s="6" t="inlineStr"/>
      <c r="J99" s="6" t="inlineStr">
        <is>
          <t>Test cases under those controls: 0; Test cases that cite it: 0</t>
        </is>
      </c>
      <c r="K99" s="6" t="inlineStr">
        <is>
          <t>https://nachi065.github.io/AI-Security-Wiki/23_Framework_Crosswalks/03_NIST_AI_RMF_Crosswalk.html</t>
        </is>
      </c>
    </row>
    <row r="100">
      <c r="A100" s="157" t="inlineStr">
        <is>
          <t>Risk frameworks</t>
        </is>
      </c>
      <c r="B100" s="157" t="inlineStr">
        <is>
          <t>NIST AI RMF 1.0</t>
        </is>
      </c>
      <c r="C100" s="157" t="inlineStr">
        <is>
          <t>Map</t>
        </is>
      </c>
      <c r="D100" s="157" t="inlineStr">
        <is>
          <t>MAP 2.2</t>
        </is>
      </c>
      <c r="E100" s="157" t="inlineStr"/>
      <c r="F100" s="157" t="inlineStr">
        <is>
          <t>AI-CTRL-039</t>
        </is>
      </c>
      <c r="G100" s="157" t="inlineStr">
        <is>
          <t>AI-R12, AI-R14, AI-R20</t>
        </is>
      </c>
      <c r="H100" s="157" t="inlineStr">
        <is>
          <t>Derived via mapped controls</t>
        </is>
      </c>
      <c r="I100" s="157" t="inlineStr"/>
      <c r="J100" s="157" t="inlineStr">
        <is>
          <t>Test cases under those controls: 9; Test cases that cite it: 0</t>
        </is>
      </c>
      <c r="K100" s="157" t="inlineStr">
        <is>
          <t>https://nachi065.github.io/AI-Security-Wiki/23_Framework_Crosswalks/03_NIST_AI_RMF_Crosswalk.html</t>
        </is>
      </c>
    </row>
    <row r="101">
      <c r="A101" s="6" t="inlineStr">
        <is>
          <t>Risk frameworks</t>
        </is>
      </c>
      <c r="B101" s="6" t="inlineStr">
        <is>
          <t>NIST AI RMF 1.0</t>
        </is>
      </c>
      <c r="C101" s="6" t="inlineStr">
        <is>
          <t>Map</t>
        </is>
      </c>
      <c r="D101" s="6" t="inlineStr">
        <is>
          <t>MAP 2.3</t>
        </is>
      </c>
      <c r="E101" s="6" t="inlineStr"/>
      <c r="F101" s="6" t="inlineStr">
        <is>
          <t>AI-CTRL-019, AI-CTRL-029</t>
        </is>
      </c>
      <c r="G101" s="6" t="inlineStr">
        <is>
          <t>AI-R05, AI-R08, AI-R17</t>
        </is>
      </c>
      <c r="H101" s="6" t="inlineStr">
        <is>
          <t>Derived via mapped controls</t>
        </is>
      </c>
      <c r="I101" s="6" t="inlineStr"/>
      <c r="J101" s="6" t="inlineStr">
        <is>
          <t>Test cases under those controls: 33; Test cases that cite it: 24</t>
        </is>
      </c>
      <c r="K101" s="6" t="inlineStr">
        <is>
          <t>https://nachi065.github.io/AI-Security-Wiki/23_Framework_Crosswalks/03_NIST_AI_RMF_Crosswalk.html</t>
        </is>
      </c>
    </row>
    <row r="102">
      <c r="A102" s="157" t="inlineStr">
        <is>
          <t>Risk frameworks</t>
        </is>
      </c>
      <c r="B102" s="157" t="inlineStr">
        <is>
          <t>NIST AI RMF 1.0</t>
        </is>
      </c>
      <c r="C102" s="157" t="inlineStr">
        <is>
          <t>Map</t>
        </is>
      </c>
      <c r="D102" s="157" t="inlineStr">
        <is>
          <t>MAP 3.1</t>
        </is>
      </c>
      <c r="E102" s="157" t="inlineStr">
        <is>
          <t>None</t>
        </is>
      </c>
      <c r="F102" s="157" t="inlineStr">
        <is>
          <t>None</t>
        </is>
      </c>
      <c r="G102" s="157" t="inlineStr">
        <is>
          <t>None</t>
        </is>
      </c>
      <c r="H102" s="157" t="inlineStr">
        <is>
          <t>Derived via mapped controls</t>
        </is>
      </c>
      <c r="I102" s="157" t="inlineStr"/>
      <c r="J102" s="157" t="inlineStr">
        <is>
          <t>Test cases under those controls: 0; Test cases that cite it: 0</t>
        </is>
      </c>
      <c r="K102" s="157" t="inlineStr">
        <is>
          <t>https://nachi065.github.io/AI-Security-Wiki/23_Framework_Crosswalks/03_NIST_AI_RMF_Crosswalk.html</t>
        </is>
      </c>
    </row>
    <row r="103">
      <c r="A103" s="6" t="inlineStr">
        <is>
          <t>Risk frameworks</t>
        </is>
      </c>
      <c r="B103" s="6" t="inlineStr">
        <is>
          <t>NIST AI RMF 1.0</t>
        </is>
      </c>
      <c r="C103" s="6" t="inlineStr">
        <is>
          <t>Map</t>
        </is>
      </c>
      <c r="D103" s="6" t="inlineStr">
        <is>
          <t>MAP 3.2</t>
        </is>
      </c>
      <c r="E103" s="6" t="inlineStr">
        <is>
          <t>None</t>
        </is>
      </c>
      <c r="F103" s="6" t="inlineStr">
        <is>
          <t>None</t>
        </is>
      </c>
      <c r="G103" s="6" t="inlineStr">
        <is>
          <t>None</t>
        </is>
      </c>
      <c r="H103" s="6" t="inlineStr">
        <is>
          <t>Derived via mapped controls</t>
        </is>
      </c>
      <c r="I103" s="6" t="inlineStr"/>
      <c r="J103" s="6" t="inlineStr">
        <is>
          <t>Test cases under those controls: 0; Test cases that cite it: 0</t>
        </is>
      </c>
      <c r="K103" s="6" t="inlineStr">
        <is>
          <t>https://nachi065.github.io/AI-Security-Wiki/23_Framework_Crosswalks/03_NIST_AI_RMF_Crosswalk.html</t>
        </is>
      </c>
    </row>
    <row r="104">
      <c r="A104" s="157" t="inlineStr">
        <is>
          <t>Risk frameworks</t>
        </is>
      </c>
      <c r="B104" s="157" t="inlineStr">
        <is>
          <t>NIST AI RMF 1.0</t>
        </is>
      </c>
      <c r="C104" s="157" t="inlineStr">
        <is>
          <t>Map</t>
        </is>
      </c>
      <c r="D104" s="157" t="inlineStr">
        <is>
          <t>MAP 3.3</t>
        </is>
      </c>
      <c r="E104" s="157" t="inlineStr">
        <is>
          <t>None</t>
        </is>
      </c>
      <c r="F104" s="157" t="inlineStr">
        <is>
          <t>None</t>
        </is>
      </c>
      <c r="G104" s="157" t="inlineStr">
        <is>
          <t>None</t>
        </is>
      </c>
      <c r="H104" s="157" t="inlineStr">
        <is>
          <t>Derived via mapped controls</t>
        </is>
      </c>
      <c r="I104" s="157" t="inlineStr"/>
      <c r="J104" s="157" t="inlineStr">
        <is>
          <t>Test cases under those controls: 0; Test cases that cite it: 0</t>
        </is>
      </c>
      <c r="K104" s="157" t="inlineStr">
        <is>
          <t>https://nachi065.github.io/AI-Security-Wiki/23_Framework_Crosswalks/03_NIST_AI_RMF_Crosswalk.html</t>
        </is>
      </c>
    </row>
    <row r="105">
      <c r="A105" s="6" t="inlineStr">
        <is>
          <t>Risk frameworks</t>
        </is>
      </c>
      <c r="B105" s="6" t="inlineStr">
        <is>
          <t>NIST AI RMF 1.0</t>
        </is>
      </c>
      <c r="C105" s="6" t="inlineStr">
        <is>
          <t>Map</t>
        </is>
      </c>
      <c r="D105" s="6" t="inlineStr">
        <is>
          <t>MAP 3.4</t>
        </is>
      </c>
      <c r="E105" s="6" t="inlineStr"/>
      <c r="F105" s="6" t="inlineStr">
        <is>
          <t>AI-CTRL-044</t>
        </is>
      </c>
      <c r="G105" s="6" t="inlineStr">
        <is>
          <t>AI-R02, AI-R19</t>
        </is>
      </c>
      <c r="H105" s="6" t="inlineStr">
        <is>
          <t>Derived via mapped controls</t>
        </is>
      </c>
      <c r="I105" s="6" t="inlineStr"/>
      <c r="J105" s="6" t="inlineStr">
        <is>
          <t>Test cases under those controls: 3; Test cases that cite it: 0</t>
        </is>
      </c>
      <c r="K105" s="6" t="inlineStr">
        <is>
          <t>https://nachi065.github.io/AI-Security-Wiki/23_Framework_Crosswalks/03_NIST_AI_RMF_Crosswalk.html</t>
        </is>
      </c>
    </row>
    <row r="106">
      <c r="A106" s="157" t="inlineStr">
        <is>
          <t>Risk frameworks</t>
        </is>
      </c>
      <c r="B106" s="157" t="inlineStr">
        <is>
          <t>NIST AI RMF 1.0</t>
        </is>
      </c>
      <c r="C106" s="157" t="inlineStr">
        <is>
          <t>Map</t>
        </is>
      </c>
      <c r="D106" s="157" t="inlineStr">
        <is>
          <t>MAP 3.5</t>
        </is>
      </c>
      <c r="E106" s="157" t="inlineStr"/>
      <c r="F106" s="157" t="inlineStr">
        <is>
          <t>AI-CTRL-023, AI-CTRL-045</t>
        </is>
      </c>
      <c r="G106" s="157" t="inlineStr">
        <is>
          <t>AI-R07, AI-R12, AI-R14, AI-R18, AI-R19, AI-R28</t>
        </is>
      </c>
      <c r="H106" s="157" t="inlineStr">
        <is>
          <t>Derived via mapped controls</t>
        </is>
      </c>
      <c r="I106" s="157" t="inlineStr"/>
      <c r="J106" s="157" t="inlineStr">
        <is>
          <t>Test cases under those controls: 10; Test cases that cite it: 0</t>
        </is>
      </c>
      <c r="K106" s="157" t="inlineStr">
        <is>
          <t>https://nachi065.github.io/AI-Security-Wiki/23_Framework_Crosswalks/03_NIST_AI_RMF_Crosswalk.html</t>
        </is>
      </c>
    </row>
    <row r="107">
      <c r="A107" s="6" t="inlineStr">
        <is>
          <t>Risk frameworks</t>
        </is>
      </c>
      <c r="B107" s="6" t="inlineStr">
        <is>
          <t>NIST AI RMF 1.0</t>
        </is>
      </c>
      <c r="C107" s="6" t="inlineStr">
        <is>
          <t>Map</t>
        </is>
      </c>
      <c r="D107" s="6" t="inlineStr">
        <is>
          <t>MAP 4.1</t>
        </is>
      </c>
      <c r="E107" s="6" t="inlineStr"/>
      <c r="F107" s="6" t="inlineStr">
        <is>
          <t>AI-CTRL-007, AI-CTRL-024, AI-CTRL-029, AI-CTRL-031, AI-CTRL-046</t>
        </is>
      </c>
      <c r="G107" s="6" t="inlineStr">
        <is>
          <t>AI-R07, AI-R08, AI-R10, AI-R16, AI-R23, AI-R24, AI-R27</t>
        </is>
      </c>
      <c r="H107" s="6" t="inlineStr">
        <is>
          <t>Derived via mapped controls</t>
        </is>
      </c>
      <c r="I107" s="6" t="inlineStr"/>
      <c r="J107" s="6" t="inlineStr">
        <is>
          <t>Test cases under those controls: 75; Test cases that cite it: 31</t>
        </is>
      </c>
      <c r="K107" s="6" t="inlineStr">
        <is>
          <t>https://nachi065.github.io/AI-Security-Wiki/23_Framework_Crosswalks/03_NIST_AI_RMF_Crosswalk.html</t>
        </is>
      </c>
    </row>
    <row r="108">
      <c r="A108" s="157" t="inlineStr">
        <is>
          <t>Risk frameworks</t>
        </is>
      </c>
      <c r="B108" s="157" t="inlineStr">
        <is>
          <t>NIST AI RMF 1.0</t>
        </is>
      </c>
      <c r="C108" s="157" t="inlineStr">
        <is>
          <t>Map</t>
        </is>
      </c>
      <c r="D108" s="157" t="inlineStr">
        <is>
          <t>MAP 4.2</t>
        </is>
      </c>
      <c r="E108" s="157" t="inlineStr"/>
      <c r="F108" s="157" t="inlineStr">
        <is>
          <t>AI-CTRL-024, AI-CTRL-030, AI-CTRL-032</t>
        </is>
      </c>
      <c r="G108" s="157" t="inlineStr">
        <is>
          <t>AI-R07, AI-R08, AI-R10, AI-R23, AI-R24</t>
        </is>
      </c>
      <c r="H108" s="157" t="inlineStr">
        <is>
          <t>Derived via mapped controls</t>
        </is>
      </c>
      <c r="I108" s="157" t="inlineStr"/>
      <c r="J108" s="157" t="inlineStr">
        <is>
          <t>Test cases under those controls: 59; Test cases that cite it: 0</t>
        </is>
      </c>
      <c r="K108" s="157" t="inlineStr">
        <is>
          <t>https://nachi065.github.io/AI-Security-Wiki/23_Framework_Crosswalks/03_NIST_AI_RMF_Crosswalk.html</t>
        </is>
      </c>
    </row>
    <row r="109">
      <c r="A109" s="6" t="inlineStr">
        <is>
          <t>Risk frameworks</t>
        </is>
      </c>
      <c r="B109" s="6" t="inlineStr">
        <is>
          <t>NIST AI RMF 1.0</t>
        </is>
      </c>
      <c r="C109" s="6" t="inlineStr">
        <is>
          <t>Map</t>
        </is>
      </c>
      <c r="D109" s="6" t="inlineStr">
        <is>
          <t>MAP 5.1</t>
        </is>
      </c>
      <c r="E109" s="6" t="inlineStr"/>
      <c r="F109" s="6" t="inlineStr">
        <is>
          <t>AI-CTRL-013, AI-CTRL-041, AI-CTRL-042</t>
        </is>
      </c>
      <c r="G109" s="6" t="inlineStr">
        <is>
          <t>AI-R03, AI-R10, AI-R12, AI-R14, AI-R15, AI-R27, AI-R28</t>
        </is>
      </c>
      <c r="H109" s="6" t="inlineStr">
        <is>
          <t>Derived via mapped controls</t>
        </is>
      </c>
      <c r="I109" s="6" t="inlineStr"/>
      <c r="J109" s="6" t="inlineStr">
        <is>
          <t>Test cases under those controls: 48; Test cases that cite it: 0</t>
        </is>
      </c>
      <c r="K109" s="6" t="inlineStr">
        <is>
          <t>https://nachi065.github.io/AI-Security-Wiki/23_Framework_Crosswalks/03_NIST_AI_RMF_Crosswalk.html</t>
        </is>
      </c>
    </row>
    <row r="110">
      <c r="A110" s="157" t="inlineStr">
        <is>
          <t>Risk frameworks</t>
        </is>
      </c>
      <c r="B110" s="157" t="inlineStr">
        <is>
          <t>NIST AI RMF 1.0</t>
        </is>
      </c>
      <c r="C110" s="157" t="inlineStr">
        <is>
          <t>Map</t>
        </is>
      </c>
      <c r="D110" s="157" t="inlineStr">
        <is>
          <t>MAP 5.2</t>
        </is>
      </c>
      <c r="E110" s="157" t="inlineStr">
        <is>
          <t>None</t>
        </is>
      </c>
      <c r="F110" s="157" t="inlineStr">
        <is>
          <t>None</t>
        </is>
      </c>
      <c r="G110" s="157" t="inlineStr">
        <is>
          <t>None</t>
        </is>
      </c>
      <c r="H110" s="157" t="inlineStr">
        <is>
          <t>Derived via mapped controls</t>
        </is>
      </c>
      <c r="I110" s="157" t="inlineStr"/>
      <c r="J110" s="157" t="inlineStr">
        <is>
          <t>Test cases under those controls: 0; Test cases that cite it: 0</t>
        </is>
      </c>
      <c r="K110" s="157" t="inlineStr">
        <is>
          <t>https://nachi065.github.io/AI-Security-Wiki/23_Framework_Crosswalks/03_NIST_AI_RMF_Crosswalk.html</t>
        </is>
      </c>
    </row>
    <row r="111">
      <c r="A111" s="6" t="inlineStr">
        <is>
          <t>Risk frameworks</t>
        </is>
      </c>
      <c r="B111" s="6" t="inlineStr">
        <is>
          <t>NIST AI RMF 1.0</t>
        </is>
      </c>
      <c r="C111" s="6" t="inlineStr">
        <is>
          <t>Measure</t>
        </is>
      </c>
      <c r="D111" s="6" t="inlineStr">
        <is>
          <t>MEASURE 1.1</t>
        </is>
      </c>
      <c r="E111" s="6" t="inlineStr">
        <is>
          <t>None</t>
        </is>
      </c>
      <c r="F111" s="6" t="inlineStr">
        <is>
          <t>None</t>
        </is>
      </c>
      <c r="G111" s="6" t="inlineStr">
        <is>
          <t>None</t>
        </is>
      </c>
      <c r="H111" s="6" t="inlineStr">
        <is>
          <t>Derived via mapped controls</t>
        </is>
      </c>
      <c r="I111" s="6" t="inlineStr"/>
      <c r="J111" s="6" t="inlineStr">
        <is>
          <t>Test cases under those controls: 0; Test cases that cite it: 0</t>
        </is>
      </c>
      <c r="K111" s="6" t="inlineStr">
        <is>
          <t>https://nachi065.github.io/AI-Security-Wiki/23_Framework_Crosswalks/03_NIST_AI_RMF_Crosswalk.html</t>
        </is>
      </c>
    </row>
    <row r="112">
      <c r="A112" s="157" t="inlineStr">
        <is>
          <t>Risk frameworks</t>
        </is>
      </c>
      <c r="B112" s="157" t="inlineStr">
        <is>
          <t>NIST AI RMF 1.0</t>
        </is>
      </c>
      <c r="C112" s="157" t="inlineStr">
        <is>
          <t>Measure</t>
        </is>
      </c>
      <c r="D112" s="157" t="inlineStr">
        <is>
          <t>MEASURE 1.2</t>
        </is>
      </c>
      <c r="E112" s="157" t="inlineStr"/>
      <c r="F112" s="157" t="inlineStr">
        <is>
          <t>AI-CTRL-038</t>
        </is>
      </c>
      <c r="G112" s="157" t="inlineStr">
        <is>
          <t>AI-R09, AI-R15, AI-R28</t>
        </is>
      </c>
      <c r="H112" s="157" t="inlineStr">
        <is>
          <t>Derived via mapped controls</t>
        </is>
      </c>
      <c r="I112" s="157" t="inlineStr"/>
      <c r="J112" s="157" t="inlineStr">
        <is>
          <t>Test cases under those controls: 17; Test cases that cite it: 0</t>
        </is>
      </c>
      <c r="K112" s="157" t="inlineStr">
        <is>
          <t>https://nachi065.github.io/AI-Security-Wiki/23_Framework_Crosswalks/03_NIST_AI_RMF_Crosswalk.html</t>
        </is>
      </c>
    </row>
    <row r="113">
      <c r="A113" s="6" t="inlineStr">
        <is>
          <t>Risk frameworks</t>
        </is>
      </c>
      <c r="B113" s="6" t="inlineStr">
        <is>
          <t>NIST AI RMF 1.0</t>
        </is>
      </c>
      <c r="C113" s="6" t="inlineStr">
        <is>
          <t>Measure</t>
        </is>
      </c>
      <c r="D113" s="6" t="inlineStr">
        <is>
          <t>MEASURE 1.3</t>
        </is>
      </c>
      <c r="E113" s="6" t="inlineStr"/>
      <c r="F113" s="6" t="inlineStr">
        <is>
          <t>AI-CTRL-038</t>
        </is>
      </c>
      <c r="G113" s="6" t="inlineStr">
        <is>
          <t>AI-R09, AI-R15, AI-R28</t>
        </is>
      </c>
      <c r="H113" s="6" t="inlineStr">
        <is>
          <t>Derived via mapped controls</t>
        </is>
      </c>
      <c r="I113" s="6" t="inlineStr"/>
      <c r="J113" s="6" t="inlineStr">
        <is>
          <t>Test cases under those controls: 17; Test cases that cite it: 0</t>
        </is>
      </c>
      <c r="K113" s="6" t="inlineStr">
        <is>
          <t>https://nachi065.github.io/AI-Security-Wiki/23_Framework_Crosswalks/03_NIST_AI_RMF_Crosswalk.html</t>
        </is>
      </c>
    </row>
    <row r="114">
      <c r="A114" s="157" t="inlineStr">
        <is>
          <t>Risk frameworks</t>
        </is>
      </c>
      <c r="B114" s="157" t="inlineStr">
        <is>
          <t>NIST AI RMF 1.0</t>
        </is>
      </c>
      <c r="C114" s="157" t="inlineStr">
        <is>
          <t>Measure</t>
        </is>
      </c>
      <c r="D114" s="157" t="inlineStr">
        <is>
          <t>MEASURE 2.1</t>
        </is>
      </c>
      <c r="E114" s="157" t="inlineStr"/>
      <c r="F114" s="157" t="inlineStr">
        <is>
          <t>AI-CTRL-034</t>
        </is>
      </c>
      <c r="G114" s="157" t="inlineStr">
        <is>
          <t>AI-R05, AI-R07, AI-R16, AI-R17, AI-R20</t>
        </is>
      </c>
      <c r="H114" s="157" t="inlineStr">
        <is>
          <t>Derived via mapped controls</t>
        </is>
      </c>
      <c r="I114" s="157" t="inlineStr"/>
      <c r="J114" s="157" t="inlineStr">
        <is>
          <t>Test cases under those controls: 38; Test cases that cite it: 0</t>
        </is>
      </c>
      <c r="K114" s="157" t="inlineStr">
        <is>
          <t>https://nachi065.github.io/AI-Security-Wiki/23_Framework_Crosswalks/03_NIST_AI_RMF_Crosswalk.html</t>
        </is>
      </c>
    </row>
    <row r="115">
      <c r="A115" s="6" t="inlineStr">
        <is>
          <t>Risk frameworks</t>
        </is>
      </c>
      <c r="B115" s="6" t="inlineStr">
        <is>
          <t>NIST AI RMF 1.0</t>
        </is>
      </c>
      <c r="C115" s="6" t="inlineStr">
        <is>
          <t>Measure</t>
        </is>
      </c>
      <c r="D115" s="6" t="inlineStr">
        <is>
          <t>MEASURE 2.2</t>
        </is>
      </c>
      <c r="E115" s="6" t="inlineStr">
        <is>
          <t>None</t>
        </is>
      </c>
      <c r="F115" s="6" t="inlineStr">
        <is>
          <t>None</t>
        </is>
      </c>
      <c r="G115" s="6" t="inlineStr">
        <is>
          <t>None</t>
        </is>
      </c>
      <c r="H115" s="6" t="inlineStr">
        <is>
          <t>Derived via mapped controls</t>
        </is>
      </c>
      <c r="I115" s="6" t="inlineStr"/>
      <c r="J115" s="6" t="inlineStr">
        <is>
          <t>Test cases under those controls: 0; Test cases that cite it: 0</t>
        </is>
      </c>
      <c r="K115" s="6" t="inlineStr">
        <is>
          <t>https://nachi065.github.io/AI-Security-Wiki/23_Framework_Crosswalks/03_NIST_AI_RMF_Crosswalk.html</t>
        </is>
      </c>
    </row>
    <row r="116">
      <c r="A116" s="157" t="inlineStr">
        <is>
          <t>Risk frameworks</t>
        </is>
      </c>
      <c r="B116" s="157" t="inlineStr">
        <is>
          <t>NIST AI RMF 1.0</t>
        </is>
      </c>
      <c r="C116" s="157" t="inlineStr">
        <is>
          <t>Measure</t>
        </is>
      </c>
      <c r="D116" s="157" t="inlineStr">
        <is>
          <t>MEASURE 2.3</t>
        </is>
      </c>
      <c r="E116" s="157" t="inlineStr">
        <is>
          <t>None</t>
        </is>
      </c>
      <c r="F116" s="157" t="inlineStr">
        <is>
          <t>None</t>
        </is>
      </c>
      <c r="G116" s="157" t="inlineStr">
        <is>
          <t>None</t>
        </is>
      </c>
      <c r="H116" s="157" t="inlineStr">
        <is>
          <t>Derived via mapped controls</t>
        </is>
      </c>
      <c r="I116" s="157" t="inlineStr"/>
      <c r="J116" s="157" t="inlineStr">
        <is>
          <t>Test cases under those controls: 0; Test cases that cite it: 0</t>
        </is>
      </c>
      <c r="K116" s="157" t="inlineStr">
        <is>
          <t>https://nachi065.github.io/AI-Security-Wiki/23_Framework_Crosswalks/03_NIST_AI_RMF_Crosswalk.html</t>
        </is>
      </c>
    </row>
    <row r="117">
      <c r="A117" s="6" t="inlineStr">
        <is>
          <t>Risk frameworks</t>
        </is>
      </c>
      <c r="B117" s="6" t="inlineStr">
        <is>
          <t>NIST AI RMF 1.0</t>
        </is>
      </c>
      <c r="C117" s="6" t="inlineStr">
        <is>
          <t>Measure</t>
        </is>
      </c>
      <c r="D117" s="6" t="inlineStr">
        <is>
          <t>MEASURE 2.4</t>
        </is>
      </c>
      <c r="E117" s="6" t="inlineStr"/>
      <c r="F117" s="6" t="inlineStr">
        <is>
          <t>AI-CTRL-006, AI-CTRL-008, AI-CTRL-009</t>
        </is>
      </c>
      <c r="G117" s="6" t="inlineStr">
        <is>
          <t>AI-R07, AI-R09, AI-R15, AI-R25, AI-R26</t>
        </is>
      </c>
      <c r="H117" s="6" t="inlineStr">
        <is>
          <t>Derived via mapped controls</t>
        </is>
      </c>
      <c r="I117" s="6" t="inlineStr"/>
      <c r="J117" s="6" t="inlineStr">
        <is>
          <t>Test cases under those controls: 56; Test cases that cite it: 53</t>
        </is>
      </c>
      <c r="K117" s="6" t="inlineStr">
        <is>
          <t>https://nachi065.github.io/AI-Security-Wiki/23_Framework_Crosswalks/03_NIST_AI_RMF_Crosswalk.html</t>
        </is>
      </c>
    </row>
    <row r="118">
      <c r="A118" s="157" t="inlineStr">
        <is>
          <t>Risk frameworks</t>
        </is>
      </c>
      <c r="B118" s="157" t="inlineStr">
        <is>
          <t>NIST AI RMF 1.0</t>
        </is>
      </c>
      <c r="C118" s="157" t="inlineStr">
        <is>
          <t>Measure</t>
        </is>
      </c>
      <c r="D118" s="157" t="inlineStr">
        <is>
          <t>MEASURE 2.5</t>
        </is>
      </c>
      <c r="E118" s="157" t="inlineStr"/>
      <c r="F118" s="157" t="inlineStr">
        <is>
          <t>AI-CTRL-028, AI-CTRL-039</t>
        </is>
      </c>
      <c r="G118" s="157" t="inlineStr">
        <is>
          <t>AI-R08, AI-R12, AI-R14, AI-R20</t>
        </is>
      </c>
      <c r="H118" s="157" t="inlineStr">
        <is>
          <t>Derived via mapped controls</t>
        </is>
      </c>
      <c r="I118" s="157" t="inlineStr"/>
      <c r="J118" s="157" t="inlineStr">
        <is>
          <t>Test cases under those controls: 29; Test cases that cite it: 10</t>
        </is>
      </c>
      <c r="K118" s="157" t="inlineStr">
        <is>
          <t>https://nachi065.github.io/AI-Security-Wiki/23_Framework_Crosswalks/03_NIST_AI_RMF_Crosswalk.html</t>
        </is>
      </c>
    </row>
    <row r="119">
      <c r="A119" s="6" t="inlineStr">
        <is>
          <t>Risk frameworks</t>
        </is>
      </c>
      <c r="B119" s="6" t="inlineStr">
        <is>
          <t>NIST AI RMF 1.0</t>
        </is>
      </c>
      <c r="C119" s="6" t="inlineStr">
        <is>
          <t>Measure</t>
        </is>
      </c>
      <c r="D119" s="6" t="inlineStr">
        <is>
          <t>MEASURE 2.6</t>
        </is>
      </c>
      <c r="E119" s="6" t="inlineStr"/>
      <c r="F119" s="6" t="inlineStr">
        <is>
          <t>AI-CTRL-034, AI-CTRL-039</t>
        </is>
      </c>
      <c r="G119" s="6" t="inlineStr">
        <is>
          <t>AI-R05, AI-R07, AI-R12, AI-R14, AI-R16, AI-R17, AI-R20</t>
        </is>
      </c>
      <c r="H119" s="6" t="inlineStr">
        <is>
          <t>Derived via mapped controls</t>
        </is>
      </c>
      <c r="I119" s="6" t="inlineStr"/>
      <c r="J119" s="6" t="inlineStr">
        <is>
          <t>Test cases under those controls: 47; Test cases that cite it: 27</t>
        </is>
      </c>
      <c r="K119" s="6" t="inlineStr">
        <is>
          <t>https://nachi065.github.io/AI-Security-Wiki/23_Framework_Crosswalks/03_NIST_AI_RMF_Crosswalk.html</t>
        </is>
      </c>
    </row>
    <row r="120">
      <c r="A120" s="157" t="inlineStr">
        <is>
          <t>Risk frameworks</t>
        </is>
      </c>
      <c r="B120" s="157" t="inlineStr">
        <is>
          <t>NIST AI RMF 1.0</t>
        </is>
      </c>
      <c r="C120" s="157" t="inlineStr">
        <is>
          <t>Measure</t>
        </is>
      </c>
      <c r="D120" s="157" t="inlineStr">
        <is>
          <t>MEASURE 2.7</t>
        </is>
      </c>
      <c r="E120" s="157" t="inlineStr"/>
      <c r="F120" s="157" t="inlineStr">
        <is>
          <t>AI-CTRL-005, AI-CTRL-015, AI-CTRL-016, AI-CTRL-017, AI-CTRL-018, AI-CTRL-019, AI-CTRL-020, AI-CTRL-021, AI-CTRL-022, AI-CTRL-026, AI-CTRL-027, AI-CTRL-028, AI-CTRL-029, AI-CTRL-030, AI-CTRL-032, AI-CTRL-033, AI-CTRL-034, AI-CTRL-036, AI-CTRL-040</t>
        </is>
      </c>
      <c r="G120" s="157" t="inlineStr">
        <is>
          <t>AI-R01, AI-R03, AI-R05, AI-R06, AI-R07, AI-R08, AI-R10, AI-R11, AI-R13, AI-R14, AI-R16, AI-R17, AI-R20, AI-R21, AI-R22, AI-R24, AI-R25, AI-R26, AI-R55</t>
        </is>
      </c>
      <c r="H120" s="157" t="inlineStr">
        <is>
          <t>Derived via mapped controls</t>
        </is>
      </c>
      <c r="I120" s="157" t="inlineStr"/>
      <c r="J120" s="157" t="inlineStr">
        <is>
          <t>Test cases under those controls: 398; Test cases that cite it: 232</t>
        </is>
      </c>
      <c r="K120" s="157" t="inlineStr">
        <is>
          <t>https://nachi065.github.io/AI-Security-Wiki/23_Framework_Crosswalks/03_NIST_AI_RMF_Crosswalk.html</t>
        </is>
      </c>
    </row>
    <row r="121">
      <c r="A121" s="6" t="inlineStr">
        <is>
          <t>Risk frameworks</t>
        </is>
      </c>
      <c r="B121" s="6" t="inlineStr">
        <is>
          <t>NIST AI RMF 1.0</t>
        </is>
      </c>
      <c r="C121" s="6" t="inlineStr">
        <is>
          <t>Measure</t>
        </is>
      </c>
      <c r="D121" s="6" t="inlineStr">
        <is>
          <t>MEASURE 2.8</t>
        </is>
      </c>
      <c r="E121" s="6" t="inlineStr"/>
      <c r="F121" s="6" t="inlineStr">
        <is>
          <t>AI-CTRL-008, AI-CTRL-015</t>
        </is>
      </c>
      <c r="G121" s="6" t="inlineStr">
        <is>
          <t>AI-R07, AI-R09, AI-R15, AI-R22, AI-R25, AI-R26</t>
        </is>
      </c>
      <c r="H121" s="6" t="inlineStr">
        <is>
          <t>Derived via mapped controls</t>
        </is>
      </c>
      <c r="I121" s="6" t="inlineStr"/>
      <c r="J121" s="6" t="inlineStr">
        <is>
          <t>Test cases under those controls: 64; Test cases that cite it: 1</t>
        </is>
      </c>
      <c r="K121" s="6" t="inlineStr">
        <is>
          <t>https://nachi065.github.io/AI-Security-Wiki/23_Framework_Crosswalks/03_NIST_AI_RMF_Crosswalk.html</t>
        </is>
      </c>
    </row>
    <row r="122">
      <c r="A122" s="157" t="inlineStr">
        <is>
          <t>Risk frameworks</t>
        </is>
      </c>
      <c r="B122" s="157" t="inlineStr">
        <is>
          <t>NIST AI RMF 1.0</t>
        </is>
      </c>
      <c r="C122" s="157" t="inlineStr">
        <is>
          <t>Measure</t>
        </is>
      </c>
      <c r="D122" s="157" t="inlineStr">
        <is>
          <t>MEASURE 2.9</t>
        </is>
      </c>
      <c r="E122" s="157" t="inlineStr"/>
      <c r="F122" s="157" t="inlineStr">
        <is>
          <t>AI-CTRL-041</t>
        </is>
      </c>
      <c r="G122" s="157" t="inlineStr">
        <is>
          <t>AI-R12, AI-R14, AI-R15</t>
        </is>
      </c>
      <c r="H122" s="157" t="inlineStr">
        <is>
          <t>Derived via mapped controls</t>
        </is>
      </c>
      <c r="I122" s="157" t="inlineStr"/>
      <c r="J122" s="157" t="inlineStr">
        <is>
          <t>Test cases under those controls: 7; Test cases that cite it: 0</t>
        </is>
      </c>
      <c r="K122" s="157" t="inlineStr">
        <is>
          <t>https://nachi065.github.io/AI-Security-Wiki/23_Framework_Crosswalks/03_NIST_AI_RMF_Crosswalk.html</t>
        </is>
      </c>
    </row>
    <row r="123">
      <c r="A123" s="6" t="inlineStr">
        <is>
          <t>Risk frameworks</t>
        </is>
      </c>
      <c r="B123" s="6" t="inlineStr">
        <is>
          <t>NIST AI RMF 1.0</t>
        </is>
      </c>
      <c r="C123" s="6" t="inlineStr">
        <is>
          <t>Measure</t>
        </is>
      </c>
      <c r="D123" s="6" t="inlineStr">
        <is>
          <t>MEASURE 2.10</t>
        </is>
      </c>
      <c r="E123" s="6" t="inlineStr"/>
      <c r="F123" s="6" t="inlineStr">
        <is>
          <t>AI-CTRL-002, AI-CTRL-003, AI-CTRL-004, AI-CTRL-013, AI-CTRL-017, AI-CTRL-018, AI-CTRL-020, AI-CTRL-021, AI-CTRL-026, AI-CTRL-029</t>
        </is>
      </c>
      <c r="G123" s="6" t="inlineStr">
        <is>
          <t>AI-R01, AI-R03, AI-R04, AI-R05, AI-R06, AI-R07, AI-R08, AI-R10, AI-R17, AI-R21, AI-R22, AI-R24, AI-R26, AI-R27, AI-R28</t>
        </is>
      </c>
      <c r="H123" s="6" t="inlineStr">
        <is>
          <t>Derived via mapped controls</t>
        </is>
      </c>
      <c r="I123" s="6" t="inlineStr"/>
      <c r="J123" s="6" t="inlineStr">
        <is>
          <t>Test cases under those controls: 174; Test cases that cite it: 101</t>
        </is>
      </c>
      <c r="K123" s="6" t="inlineStr">
        <is>
          <t>https://nachi065.github.io/AI-Security-Wiki/23_Framework_Crosswalks/03_NIST_AI_RMF_Crosswalk.html</t>
        </is>
      </c>
    </row>
    <row r="124">
      <c r="A124" s="157" t="inlineStr">
        <is>
          <t>Risk frameworks</t>
        </is>
      </c>
      <c r="B124" s="157" t="inlineStr">
        <is>
          <t>NIST AI RMF 1.0</t>
        </is>
      </c>
      <c r="C124" s="157" t="inlineStr">
        <is>
          <t>Measure</t>
        </is>
      </c>
      <c r="D124" s="157" t="inlineStr">
        <is>
          <t>MEASURE 2.11</t>
        </is>
      </c>
      <c r="E124" s="157" t="inlineStr"/>
      <c r="F124" s="157" t="inlineStr">
        <is>
          <t>AI-CTRL-041</t>
        </is>
      </c>
      <c r="G124" s="157" t="inlineStr">
        <is>
          <t>AI-R12, AI-R14, AI-R15</t>
        </is>
      </c>
      <c r="H124" s="157" t="inlineStr">
        <is>
          <t>Derived via mapped controls</t>
        </is>
      </c>
      <c r="I124" s="157" t="inlineStr"/>
      <c r="J124" s="157" t="inlineStr">
        <is>
          <t>Test cases under those controls: 7; Test cases that cite it: 0</t>
        </is>
      </c>
      <c r="K124" s="157" t="inlineStr">
        <is>
          <t>https://nachi065.github.io/AI-Security-Wiki/23_Framework_Crosswalks/03_NIST_AI_RMF_Crosswalk.html</t>
        </is>
      </c>
    </row>
    <row r="125">
      <c r="A125" s="6" t="inlineStr">
        <is>
          <t>Risk frameworks</t>
        </is>
      </c>
      <c r="B125" s="6" t="inlineStr">
        <is>
          <t>NIST AI RMF 1.0</t>
        </is>
      </c>
      <c r="C125" s="6" t="inlineStr">
        <is>
          <t>Measure</t>
        </is>
      </c>
      <c r="D125" s="6" t="inlineStr">
        <is>
          <t>MEASURE 2.12</t>
        </is>
      </c>
      <c r="E125" s="6" t="inlineStr">
        <is>
          <t>None</t>
        </is>
      </c>
      <c r="F125" s="6" t="inlineStr">
        <is>
          <t>None</t>
        </is>
      </c>
      <c r="G125" s="6" t="inlineStr">
        <is>
          <t>None</t>
        </is>
      </c>
      <c r="H125" s="6" t="inlineStr">
        <is>
          <t>Derived via mapped controls</t>
        </is>
      </c>
      <c r="I125" s="6" t="inlineStr"/>
      <c r="J125" s="6" t="inlineStr">
        <is>
          <t>Test cases under those controls: 0; Test cases that cite it: 0</t>
        </is>
      </c>
      <c r="K125" s="6" t="inlineStr">
        <is>
          <t>https://nachi065.github.io/AI-Security-Wiki/23_Framework_Crosswalks/03_NIST_AI_RMF_Crosswalk.html</t>
        </is>
      </c>
    </row>
    <row r="126">
      <c r="A126" s="157" t="inlineStr">
        <is>
          <t>Risk frameworks</t>
        </is>
      </c>
      <c r="B126" s="157" t="inlineStr">
        <is>
          <t>NIST AI RMF 1.0</t>
        </is>
      </c>
      <c r="C126" s="157" t="inlineStr">
        <is>
          <t>Measure</t>
        </is>
      </c>
      <c r="D126" s="157" t="inlineStr">
        <is>
          <t>MEASURE 2.13</t>
        </is>
      </c>
      <c r="E126" s="157" t="inlineStr">
        <is>
          <t>None</t>
        </is>
      </c>
      <c r="F126" s="157" t="inlineStr">
        <is>
          <t>None</t>
        </is>
      </c>
      <c r="G126" s="157" t="inlineStr">
        <is>
          <t>None</t>
        </is>
      </c>
      <c r="H126" s="157" t="inlineStr">
        <is>
          <t>Derived via mapped controls</t>
        </is>
      </c>
      <c r="I126" s="157" t="inlineStr"/>
      <c r="J126" s="157" t="inlineStr">
        <is>
          <t>Test cases under those controls: 0; Test cases that cite it: 0</t>
        </is>
      </c>
      <c r="K126" s="157" t="inlineStr">
        <is>
          <t>https://nachi065.github.io/AI-Security-Wiki/23_Framework_Crosswalks/03_NIST_AI_RMF_Crosswalk.html</t>
        </is>
      </c>
    </row>
    <row r="127">
      <c r="A127" s="6" t="inlineStr">
        <is>
          <t>Risk frameworks</t>
        </is>
      </c>
      <c r="B127" s="6" t="inlineStr">
        <is>
          <t>NIST AI RMF 1.0</t>
        </is>
      </c>
      <c r="C127" s="6" t="inlineStr">
        <is>
          <t>Measure</t>
        </is>
      </c>
      <c r="D127" s="6" t="inlineStr">
        <is>
          <t>MEASURE 3.1</t>
        </is>
      </c>
      <c r="E127" s="6" t="inlineStr"/>
      <c r="F127" s="6" t="inlineStr">
        <is>
          <t>AI-CTRL-009</t>
        </is>
      </c>
      <c r="G127" s="6" t="inlineStr">
        <is>
          <t>AI-R09</t>
        </is>
      </c>
      <c r="H127" s="6" t="inlineStr">
        <is>
          <t>Derived via mapped controls</t>
        </is>
      </c>
      <c r="I127" s="6" t="inlineStr"/>
      <c r="J127" s="6" t="inlineStr">
        <is>
          <t>Test cases under those controls: 22; Test cases that cite it: 0</t>
        </is>
      </c>
      <c r="K127" s="6" t="inlineStr">
        <is>
          <t>https://nachi065.github.io/AI-Security-Wiki/23_Framework_Crosswalks/03_NIST_AI_RMF_Crosswalk.html</t>
        </is>
      </c>
    </row>
    <row r="128">
      <c r="A128" s="157" t="inlineStr">
        <is>
          <t>Risk frameworks</t>
        </is>
      </c>
      <c r="B128" s="157" t="inlineStr">
        <is>
          <t>NIST AI RMF 1.0</t>
        </is>
      </c>
      <c r="C128" s="157" t="inlineStr">
        <is>
          <t>Measure</t>
        </is>
      </c>
      <c r="D128" s="157" t="inlineStr">
        <is>
          <t>MEASURE 3.2</t>
        </is>
      </c>
      <c r="E128" s="157" t="inlineStr">
        <is>
          <t>None</t>
        </is>
      </c>
      <c r="F128" s="157" t="inlineStr">
        <is>
          <t>None</t>
        </is>
      </c>
      <c r="G128" s="157" t="inlineStr">
        <is>
          <t>None</t>
        </is>
      </c>
      <c r="H128" s="157" t="inlineStr">
        <is>
          <t>Derived via mapped controls</t>
        </is>
      </c>
      <c r="I128" s="157" t="inlineStr"/>
      <c r="J128" s="157" t="inlineStr">
        <is>
          <t>Test cases under those controls: 0; Test cases that cite it: 0</t>
        </is>
      </c>
      <c r="K128" s="157" t="inlineStr">
        <is>
          <t>https://nachi065.github.io/AI-Security-Wiki/23_Framework_Crosswalks/03_NIST_AI_RMF_Crosswalk.html</t>
        </is>
      </c>
    </row>
    <row r="129">
      <c r="A129" s="6" t="inlineStr">
        <is>
          <t>Risk frameworks</t>
        </is>
      </c>
      <c r="B129" s="6" t="inlineStr">
        <is>
          <t>NIST AI RMF 1.0</t>
        </is>
      </c>
      <c r="C129" s="6" t="inlineStr">
        <is>
          <t>Measure</t>
        </is>
      </c>
      <c r="D129" s="6" t="inlineStr">
        <is>
          <t>MEASURE 3.3</t>
        </is>
      </c>
      <c r="E129" s="6" t="inlineStr">
        <is>
          <t>None</t>
        </is>
      </c>
      <c r="F129" s="6" t="inlineStr">
        <is>
          <t>None</t>
        </is>
      </c>
      <c r="G129" s="6" t="inlineStr">
        <is>
          <t>None</t>
        </is>
      </c>
      <c r="H129" s="6" t="inlineStr">
        <is>
          <t>Derived via mapped controls</t>
        </is>
      </c>
      <c r="I129" s="6" t="inlineStr"/>
      <c r="J129" s="6" t="inlineStr">
        <is>
          <t>Test cases under those controls: 0; Test cases that cite it: 0</t>
        </is>
      </c>
      <c r="K129" s="6" t="inlineStr">
        <is>
          <t>https://nachi065.github.io/AI-Security-Wiki/23_Framework_Crosswalks/03_NIST_AI_RMF_Crosswalk.html</t>
        </is>
      </c>
    </row>
    <row r="130">
      <c r="A130" s="157" t="inlineStr">
        <is>
          <t>Risk frameworks</t>
        </is>
      </c>
      <c r="B130" s="157" t="inlineStr">
        <is>
          <t>NIST AI RMF 1.0</t>
        </is>
      </c>
      <c r="C130" s="157" t="inlineStr">
        <is>
          <t>Measure</t>
        </is>
      </c>
      <c r="D130" s="157" t="inlineStr">
        <is>
          <t>MEASURE 4.1</t>
        </is>
      </c>
      <c r="E130" s="157" t="inlineStr">
        <is>
          <t>None</t>
        </is>
      </c>
      <c r="F130" s="157" t="inlineStr">
        <is>
          <t>None</t>
        </is>
      </c>
      <c r="G130" s="157" t="inlineStr">
        <is>
          <t>None</t>
        </is>
      </c>
      <c r="H130" s="157" t="inlineStr">
        <is>
          <t>Derived via mapped controls</t>
        </is>
      </c>
      <c r="I130" s="157" t="inlineStr"/>
      <c r="J130" s="157" t="inlineStr">
        <is>
          <t>Test cases under those controls: 0; Test cases that cite it: 0</t>
        </is>
      </c>
      <c r="K130" s="157" t="inlineStr">
        <is>
          <t>https://nachi065.github.io/AI-Security-Wiki/23_Framework_Crosswalks/03_NIST_AI_RMF_Crosswalk.html</t>
        </is>
      </c>
    </row>
    <row r="131">
      <c r="A131" s="6" t="inlineStr">
        <is>
          <t>Risk frameworks</t>
        </is>
      </c>
      <c r="B131" s="6" t="inlineStr">
        <is>
          <t>NIST AI RMF 1.0</t>
        </is>
      </c>
      <c r="C131" s="6" t="inlineStr">
        <is>
          <t>Measure</t>
        </is>
      </c>
      <c r="D131" s="6" t="inlineStr">
        <is>
          <t>MEASURE 4.2</t>
        </is>
      </c>
      <c r="E131" s="6" t="inlineStr">
        <is>
          <t>None</t>
        </is>
      </c>
      <c r="F131" s="6" t="inlineStr">
        <is>
          <t>None</t>
        </is>
      </c>
      <c r="G131" s="6" t="inlineStr">
        <is>
          <t>None</t>
        </is>
      </c>
      <c r="H131" s="6" t="inlineStr">
        <is>
          <t>Derived via mapped controls</t>
        </is>
      </c>
      <c r="I131" s="6" t="inlineStr"/>
      <c r="J131" s="6" t="inlineStr">
        <is>
          <t>Test cases under those controls: 0; Test cases that cite it: 0</t>
        </is>
      </c>
      <c r="K131" s="6" t="inlineStr">
        <is>
          <t>https://nachi065.github.io/AI-Security-Wiki/23_Framework_Crosswalks/03_NIST_AI_RMF_Crosswalk.html</t>
        </is>
      </c>
    </row>
    <row r="132">
      <c r="A132" s="157" t="inlineStr">
        <is>
          <t>Risk frameworks</t>
        </is>
      </c>
      <c r="B132" s="157" t="inlineStr">
        <is>
          <t>NIST AI RMF 1.0</t>
        </is>
      </c>
      <c r="C132" s="157" t="inlineStr">
        <is>
          <t>Measure</t>
        </is>
      </c>
      <c r="D132" s="157" t="inlineStr">
        <is>
          <t>MEASURE 4.3</t>
        </is>
      </c>
      <c r="E132" s="157" t="inlineStr">
        <is>
          <t>None</t>
        </is>
      </c>
      <c r="F132" s="157" t="inlineStr">
        <is>
          <t>None</t>
        </is>
      </c>
      <c r="G132" s="157" t="inlineStr">
        <is>
          <t>None</t>
        </is>
      </c>
      <c r="H132" s="157" t="inlineStr">
        <is>
          <t>Derived via mapped controls</t>
        </is>
      </c>
      <c r="I132" s="157" t="inlineStr"/>
      <c r="J132" s="157" t="inlineStr">
        <is>
          <t>Test cases under those controls: 0; Test cases that cite it: 0</t>
        </is>
      </c>
      <c r="K132" s="157" t="inlineStr">
        <is>
          <t>https://nachi065.github.io/AI-Security-Wiki/23_Framework_Crosswalks/03_NIST_AI_RMF_Crosswalk.html</t>
        </is>
      </c>
    </row>
    <row r="133">
      <c r="A133" s="6" t="inlineStr">
        <is>
          <t>Risk frameworks</t>
        </is>
      </c>
      <c r="B133" s="6" t="inlineStr">
        <is>
          <t>NIST AI RMF 1.0</t>
        </is>
      </c>
      <c r="C133" s="6" t="inlineStr">
        <is>
          <t>Manage</t>
        </is>
      </c>
      <c r="D133" s="6" t="inlineStr">
        <is>
          <t>MANAGE 1.1</t>
        </is>
      </c>
      <c r="E133" s="6" t="inlineStr"/>
      <c r="F133" s="6" t="inlineStr">
        <is>
          <t>AI-CTRL-033</t>
        </is>
      </c>
      <c r="G133" s="6" t="inlineStr">
        <is>
          <t>AI-R05, AI-R07, AI-R08, AI-R14, AI-R16, AI-R55</t>
        </is>
      </c>
      <c r="H133" s="6" t="inlineStr">
        <is>
          <t>Derived via mapped controls</t>
        </is>
      </c>
      <c r="I133" s="6" t="inlineStr"/>
      <c r="J133" s="6" t="inlineStr">
        <is>
          <t>Test cases under those controls: 8; Test cases that cite it: 0</t>
        </is>
      </c>
      <c r="K133" s="6" t="inlineStr">
        <is>
          <t>https://nachi065.github.io/AI-Security-Wiki/23_Framework_Crosswalks/03_NIST_AI_RMF_Crosswalk.html</t>
        </is>
      </c>
    </row>
    <row r="134">
      <c r="A134" s="157" t="inlineStr">
        <is>
          <t>Risk frameworks</t>
        </is>
      </c>
      <c r="B134" s="157" t="inlineStr">
        <is>
          <t>NIST AI RMF 1.0</t>
        </is>
      </c>
      <c r="C134" s="157" t="inlineStr">
        <is>
          <t>Manage</t>
        </is>
      </c>
      <c r="D134" s="157" t="inlineStr">
        <is>
          <t>MANAGE 1.2</t>
        </is>
      </c>
      <c r="E134" s="157" t="inlineStr"/>
      <c r="F134" s="157" t="inlineStr">
        <is>
          <t>AI-CTRL-037</t>
        </is>
      </c>
      <c r="G134" s="157" t="inlineStr">
        <is>
          <t>AI-R02, AI-R18, AI-R28, AI-R55</t>
        </is>
      </c>
      <c r="H134" s="157" t="inlineStr">
        <is>
          <t>Derived via mapped controls</t>
        </is>
      </c>
      <c r="I134" s="157" t="inlineStr"/>
      <c r="J134" s="157" t="inlineStr">
        <is>
          <t>Test cases under those controls: 10; Test cases that cite it: 0</t>
        </is>
      </c>
      <c r="K134" s="157" t="inlineStr">
        <is>
          <t>https://nachi065.github.io/AI-Security-Wiki/23_Framework_Crosswalks/03_NIST_AI_RMF_Crosswalk.html</t>
        </is>
      </c>
    </row>
    <row r="135">
      <c r="A135" s="6" t="inlineStr">
        <is>
          <t>Risk frameworks</t>
        </is>
      </c>
      <c r="B135" s="6" t="inlineStr">
        <is>
          <t>NIST AI RMF 1.0</t>
        </is>
      </c>
      <c r="C135" s="6" t="inlineStr">
        <is>
          <t>Manage</t>
        </is>
      </c>
      <c r="D135" s="6" t="inlineStr">
        <is>
          <t>MANAGE 1.3</t>
        </is>
      </c>
      <c r="E135" s="6" t="inlineStr"/>
      <c r="F135" s="6" t="inlineStr">
        <is>
          <t>AI-CTRL-005, AI-CTRL-010, AI-CTRL-016, AI-CTRL-022, AI-CTRL-027</t>
        </is>
      </c>
      <c r="G135" s="6" t="inlineStr">
        <is>
          <t>AI-R01, AI-R02, AI-R03, AI-R05, AI-R06, AI-R07, AI-R08, AI-R21, AI-R22, AI-R24, AI-R25, AI-R55</t>
        </is>
      </c>
      <c r="H135" s="6" t="inlineStr">
        <is>
          <t>Derived via mapped controls</t>
        </is>
      </c>
      <c r="I135" s="6" t="inlineStr"/>
      <c r="J135" s="6" t="inlineStr">
        <is>
          <t>Test cases under those controls: 153; Test cases that cite it: 4</t>
        </is>
      </c>
      <c r="K135" s="6" t="inlineStr">
        <is>
          <t>https://nachi065.github.io/AI-Security-Wiki/23_Framework_Crosswalks/03_NIST_AI_RMF_Crosswalk.html</t>
        </is>
      </c>
    </row>
    <row r="136">
      <c r="A136" s="157" t="inlineStr">
        <is>
          <t>Risk frameworks</t>
        </is>
      </c>
      <c r="B136" s="157" t="inlineStr">
        <is>
          <t>NIST AI RMF 1.0</t>
        </is>
      </c>
      <c r="C136" s="157" t="inlineStr">
        <is>
          <t>Manage</t>
        </is>
      </c>
      <c r="D136" s="157" t="inlineStr">
        <is>
          <t>MANAGE 1.4</t>
        </is>
      </c>
      <c r="E136" s="157" t="inlineStr"/>
      <c r="F136" s="157" t="inlineStr">
        <is>
          <t>AI-CTRL-037</t>
        </is>
      </c>
      <c r="G136" s="157" t="inlineStr">
        <is>
          <t>AI-R02, AI-R18, AI-R28, AI-R55</t>
        </is>
      </c>
      <c r="H136" s="157" t="inlineStr">
        <is>
          <t>Derived via mapped controls</t>
        </is>
      </c>
      <c r="I136" s="157" t="inlineStr"/>
      <c r="J136" s="157" t="inlineStr">
        <is>
          <t>Test cases under those controls: 10; Test cases that cite it: 0</t>
        </is>
      </c>
      <c r="K136" s="157" t="inlineStr">
        <is>
          <t>https://nachi065.github.io/AI-Security-Wiki/23_Framework_Crosswalks/03_NIST_AI_RMF_Crosswalk.html</t>
        </is>
      </c>
    </row>
    <row r="137">
      <c r="A137" s="6" t="inlineStr">
        <is>
          <t>Risk frameworks</t>
        </is>
      </c>
      <c r="B137" s="6" t="inlineStr">
        <is>
          <t>NIST AI RMF 1.0</t>
        </is>
      </c>
      <c r="C137" s="6" t="inlineStr">
        <is>
          <t>Manage</t>
        </is>
      </c>
      <c r="D137" s="6" t="inlineStr">
        <is>
          <t>MANAGE 2.1</t>
        </is>
      </c>
      <c r="E137" s="6" t="inlineStr">
        <is>
          <t>None</t>
        </is>
      </c>
      <c r="F137" s="6" t="inlineStr">
        <is>
          <t>None</t>
        </is>
      </c>
      <c r="G137" s="6" t="inlineStr">
        <is>
          <t>None</t>
        </is>
      </c>
      <c r="H137" s="6" t="inlineStr">
        <is>
          <t>Derived via mapped controls</t>
        </is>
      </c>
      <c r="I137" s="6" t="inlineStr"/>
      <c r="J137" s="6" t="inlineStr">
        <is>
          <t>Test cases under those controls: 0; Test cases that cite it: 0</t>
        </is>
      </c>
      <c r="K137" s="6" t="inlineStr">
        <is>
          <t>https://nachi065.github.io/AI-Security-Wiki/23_Framework_Crosswalks/03_NIST_AI_RMF_Crosswalk.html</t>
        </is>
      </c>
    </row>
    <row r="138">
      <c r="A138" s="157" t="inlineStr">
        <is>
          <t>Risk frameworks</t>
        </is>
      </c>
      <c r="B138" s="157" t="inlineStr">
        <is>
          <t>NIST AI RMF 1.0</t>
        </is>
      </c>
      <c r="C138" s="157" t="inlineStr">
        <is>
          <t>Manage</t>
        </is>
      </c>
      <c r="D138" s="157" t="inlineStr">
        <is>
          <t>MANAGE 2.2</t>
        </is>
      </c>
      <c r="E138" s="157" t="inlineStr">
        <is>
          <t>None</t>
        </is>
      </c>
      <c r="F138" s="157" t="inlineStr">
        <is>
          <t>None</t>
        </is>
      </c>
      <c r="G138" s="157" t="inlineStr">
        <is>
          <t>None</t>
        </is>
      </c>
      <c r="H138" s="157" t="inlineStr">
        <is>
          <t>Derived via mapped controls</t>
        </is>
      </c>
      <c r="I138" s="157" t="inlineStr"/>
      <c r="J138" s="157" t="inlineStr">
        <is>
          <t>Test cases under those controls: 0; Test cases that cite it: 0</t>
        </is>
      </c>
      <c r="K138" s="157" t="inlineStr">
        <is>
          <t>https://nachi065.github.io/AI-Security-Wiki/23_Framework_Crosswalks/03_NIST_AI_RMF_Crosswalk.html</t>
        </is>
      </c>
    </row>
    <row r="139">
      <c r="A139" s="6" t="inlineStr">
        <is>
          <t>Risk frameworks</t>
        </is>
      </c>
      <c r="B139" s="6" t="inlineStr">
        <is>
          <t>NIST AI RMF 1.0</t>
        </is>
      </c>
      <c r="C139" s="6" t="inlineStr">
        <is>
          <t>Manage</t>
        </is>
      </c>
      <c r="D139" s="6" t="inlineStr">
        <is>
          <t>MANAGE 2.3</t>
        </is>
      </c>
      <c r="E139" s="6" t="inlineStr"/>
      <c r="F139" s="6" t="inlineStr">
        <is>
          <t>AI-CTRL-025, AI-CTRL-035, AI-CTRL-040</t>
        </is>
      </c>
      <c r="G139" s="6" t="inlineStr">
        <is>
          <t>AI-R07, AI-R09, AI-R11, AI-R13, AI-R16, AI-R20, AI-R21, AI-R25, AI-R55</t>
        </is>
      </c>
      <c r="H139" s="6" t="inlineStr">
        <is>
          <t>Derived via mapped controls</t>
        </is>
      </c>
      <c r="I139" s="6" t="inlineStr"/>
      <c r="J139" s="6" t="inlineStr">
        <is>
          <t>Test cases under those controls: 64; Test cases that cite it: 214</t>
        </is>
      </c>
      <c r="K139" s="6" t="inlineStr">
        <is>
          <t>https://nachi065.github.io/AI-Security-Wiki/23_Framework_Crosswalks/03_NIST_AI_RMF_Crosswalk.html</t>
        </is>
      </c>
    </row>
    <row r="140">
      <c r="A140" s="157" t="inlineStr">
        <is>
          <t>Risk frameworks</t>
        </is>
      </c>
      <c r="B140" s="157" t="inlineStr">
        <is>
          <t>NIST AI RMF 1.0</t>
        </is>
      </c>
      <c r="C140" s="157" t="inlineStr">
        <is>
          <t>Manage</t>
        </is>
      </c>
      <c r="D140" s="157" t="inlineStr">
        <is>
          <t>MANAGE 2.4</t>
        </is>
      </c>
      <c r="E140" s="157" t="inlineStr"/>
      <c r="F140" s="157" t="inlineStr">
        <is>
          <t>AI-CTRL-025</t>
        </is>
      </c>
      <c r="G140" s="157" t="inlineStr">
        <is>
          <t>AI-R07, AI-R11, AI-R21, AI-R25, AI-R55</t>
        </is>
      </c>
      <c r="H140" s="157" t="inlineStr">
        <is>
          <t>Derived via mapped controls</t>
        </is>
      </c>
      <c r="I140" s="157" t="inlineStr"/>
      <c r="J140" s="157" t="inlineStr">
        <is>
          <t>Test cases under those controls: 13; Test cases that cite it: 1</t>
        </is>
      </c>
      <c r="K140" s="157" t="inlineStr">
        <is>
          <t>https://nachi065.github.io/AI-Security-Wiki/23_Framework_Crosswalks/03_NIST_AI_RMF_Crosswalk.html</t>
        </is>
      </c>
    </row>
    <row r="141">
      <c r="A141" s="6" t="inlineStr">
        <is>
          <t>Risk frameworks</t>
        </is>
      </c>
      <c r="B141" s="6" t="inlineStr">
        <is>
          <t>NIST AI RMF 1.0</t>
        </is>
      </c>
      <c r="C141" s="6" t="inlineStr">
        <is>
          <t>Manage</t>
        </is>
      </c>
      <c r="D141" s="6" t="inlineStr">
        <is>
          <t>MANAGE 3.1</t>
        </is>
      </c>
      <c r="E141" s="6" t="inlineStr"/>
      <c r="F141" s="6" t="inlineStr">
        <is>
          <t>AI-CTRL-014, AI-CTRL-024, AI-CTRL-031</t>
        </is>
      </c>
      <c r="G141" s="6" t="inlineStr">
        <is>
          <t>AI-R07, AI-R08, AI-R10, AI-R16, AI-R23, AI-R24</t>
        </is>
      </c>
      <c r="H141" s="6" t="inlineStr">
        <is>
          <t>Derived via mapped controls</t>
        </is>
      </c>
      <c r="I141" s="6" t="inlineStr"/>
      <c r="J141" s="6" t="inlineStr">
        <is>
          <t>Test cases under those controls: 64; Test cases that cite it: 1</t>
        </is>
      </c>
      <c r="K141" s="6" t="inlineStr">
        <is>
          <t>https://nachi065.github.io/AI-Security-Wiki/23_Framework_Crosswalks/03_NIST_AI_RMF_Crosswalk.html</t>
        </is>
      </c>
    </row>
    <row r="142">
      <c r="A142" s="157" t="inlineStr">
        <is>
          <t>Risk frameworks</t>
        </is>
      </c>
      <c r="B142" s="157" t="inlineStr">
        <is>
          <t>NIST AI RMF 1.0</t>
        </is>
      </c>
      <c r="C142" s="157" t="inlineStr">
        <is>
          <t>Manage</t>
        </is>
      </c>
      <c r="D142" s="157" t="inlineStr">
        <is>
          <t>MANAGE 3.2</t>
        </is>
      </c>
      <c r="E142" s="157" t="inlineStr"/>
      <c r="F142" s="157" t="inlineStr">
        <is>
          <t>AI-CTRL-031</t>
        </is>
      </c>
      <c r="G142" s="157" t="inlineStr">
        <is>
          <t>AI-R08, AI-R16, AI-R23</t>
        </is>
      </c>
      <c r="H142" s="157" t="inlineStr">
        <is>
          <t>Derived via mapped controls</t>
        </is>
      </c>
      <c r="I142" s="157" t="inlineStr"/>
      <c r="J142" s="157" t="inlineStr">
        <is>
          <t>Test cases under those controls: 25; Test cases that cite it: 0</t>
        </is>
      </c>
      <c r="K142" s="157" t="inlineStr">
        <is>
          <t>https://nachi065.github.io/AI-Security-Wiki/23_Framework_Crosswalks/03_NIST_AI_RMF_Crosswalk.html</t>
        </is>
      </c>
    </row>
    <row r="143">
      <c r="A143" s="6" t="inlineStr">
        <is>
          <t>Risk frameworks</t>
        </is>
      </c>
      <c r="B143" s="6" t="inlineStr">
        <is>
          <t>NIST AI RMF 1.0</t>
        </is>
      </c>
      <c r="C143" s="6" t="inlineStr">
        <is>
          <t>Manage</t>
        </is>
      </c>
      <c r="D143" s="6" t="inlineStr">
        <is>
          <t>MANAGE 4.1</t>
        </is>
      </c>
      <c r="E143" s="6" t="inlineStr"/>
      <c r="F143" s="6" t="inlineStr">
        <is>
          <t>AI-CTRL-002, AI-CTRL-003, AI-CTRL-004, AI-CTRL-008, AI-CTRL-009, AI-CTRL-036</t>
        </is>
      </c>
      <c r="G143" s="6" t="inlineStr">
        <is>
          <t>AI-R01, AI-R03, AI-R04, AI-R09, AI-R11, AI-R15, AI-R22, AI-R26, AI-R27</t>
        </is>
      </c>
      <c r="H143" s="6" t="inlineStr">
        <is>
          <t>Derived via mapped controls</t>
        </is>
      </c>
      <c r="I143" s="6" t="inlineStr"/>
      <c r="J143" s="6" t="inlineStr">
        <is>
          <t>Test cases under those controls: 112; Test cases that cite it: 187</t>
        </is>
      </c>
      <c r="K143" s="6" t="inlineStr">
        <is>
          <t>https://nachi065.github.io/AI-Security-Wiki/23_Framework_Crosswalks/03_NIST_AI_RMF_Crosswalk.html</t>
        </is>
      </c>
    </row>
    <row r="144">
      <c r="A144" s="157" t="inlineStr">
        <is>
          <t>Risk frameworks</t>
        </is>
      </c>
      <c r="B144" s="157" t="inlineStr">
        <is>
          <t>NIST AI RMF 1.0</t>
        </is>
      </c>
      <c r="C144" s="157" t="inlineStr">
        <is>
          <t>Manage</t>
        </is>
      </c>
      <c r="D144" s="157" t="inlineStr">
        <is>
          <t>MANAGE 4.2</t>
        </is>
      </c>
      <c r="E144" s="157" t="inlineStr"/>
      <c r="F144" s="157" t="inlineStr">
        <is>
          <t>AI-CTRL-038</t>
        </is>
      </c>
      <c r="G144" s="157" t="inlineStr">
        <is>
          <t>AI-R09, AI-R15, AI-R28</t>
        </is>
      </c>
      <c r="H144" s="157" t="inlineStr">
        <is>
          <t>Derived via mapped controls</t>
        </is>
      </c>
      <c r="I144" s="157" t="inlineStr"/>
      <c r="J144" s="157" t="inlineStr">
        <is>
          <t>Test cases under those controls: 17; Test cases that cite it: 0</t>
        </is>
      </c>
      <c r="K144" s="157" t="inlineStr">
        <is>
          <t>https://nachi065.github.io/AI-Security-Wiki/23_Framework_Crosswalks/03_NIST_AI_RMF_Crosswalk.html</t>
        </is>
      </c>
    </row>
    <row r="145">
      <c r="A145" s="6" t="inlineStr">
        <is>
          <t>Risk frameworks</t>
        </is>
      </c>
      <c r="B145" s="6" t="inlineStr">
        <is>
          <t>NIST AI RMF 1.0</t>
        </is>
      </c>
      <c r="C145" s="6" t="inlineStr">
        <is>
          <t>Manage</t>
        </is>
      </c>
      <c r="D145" s="6" t="inlineStr">
        <is>
          <t>MANAGE 4.3</t>
        </is>
      </c>
      <c r="E145" s="6" t="inlineStr"/>
      <c r="F145" s="6" t="inlineStr">
        <is>
          <t>AI-CTRL-035</t>
        </is>
      </c>
      <c r="G145" s="6" t="inlineStr">
        <is>
          <t>AI-R09, AI-R20</t>
        </is>
      </c>
      <c r="H145" s="6" t="inlineStr">
        <is>
          <t>Derived via mapped controls</t>
        </is>
      </c>
      <c r="I145" s="6" t="inlineStr"/>
      <c r="J145" s="6" t="inlineStr">
        <is>
          <t>Test cases under those controls: 40; Test cases that cite it: 1</t>
        </is>
      </c>
      <c r="K145" s="6" t="inlineStr">
        <is>
          <t>https://nachi065.github.io/AI-Security-Wiki/23_Framework_Crosswalks/03_NIST_AI_RMF_Crosswalk.html</t>
        </is>
      </c>
    </row>
    <row r="146">
      <c r="A146" s="157" t="inlineStr">
        <is>
          <t>Risk frameworks</t>
        </is>
      </c>
      <c r="B146" s="157" t="inlineStr">
        <is>
          <t>NIST AI 600-1 GenAI Profile</t>
        </is>
      </c>
      <c r="C146" s="157" t="inlineStr">
        <is>
          <t>AI 600-1 risks to wiki risks and controls</t>
        </is>
      </c>
      <c r="D146" s="157" t="inlineStr">
        <is>
          <t>CBRN Information or Capabilities</t>
        </is>
      </c>
      <c r="E146" s="157" t="inlineStr">
        <is>
          <t>CBRN Information or Capabilities</t>
        </is>
      </c>
      <c r="F146" s="157" t="inlineStr">
        <is>
          <t>AI-CTRL-039</t>
        </is>
      </c>
      <c r="G146" s="157" t="inlineStr">
        <is>
          <t>AI-R12</t>
        </is>
      </c>
      <c r="H146" s="157" t="inlineStr">
        <is>
          <t>Wiki maps risks directly</t>
        </is>
      </c>
      <c r="I146" s="157" t="inlineStr">
        <is>
          <t>Partial</t>
        </is>
      </c>
      <c r="J146" s="157" t="inlineStr">
        <is>
          <t>Wiki risks: AI-R12; What the match covers: The wiki treats this as one kind of harmful output. It has no risk or test case specific to chemical, biological, radiological or nuclear content.</t>
        </is>
      </c>
      <c r="K146" s="157" t="inlineStr">
        <is>
          <t>https://nachi065.github.io/AI-Security-Wiki/23_Framework_Crosswalks/04_NIST_AI_600_1_GenAI_Profile_Crosswalk.html</t>
        </is>
      </c>
    </row>
    <row r="147">
      <c r="A147" s="6" t="inlineStr">
        <is>
          <t>Risk frameworks</t>
        </is>
      </c>
      <c r="B147" s="6" t="inlineStr">
        <is>
          <t>NIST AI 600-1 GenAI Profile</t>
        </is>
      </c>
      <c r="C147" s="6" t="inlineStr">
        <is>
          <t>AI 600-1 risks to wiki risks and controls</t>
        </is>
      </c>
      <c r="D147" s="6" t="inlineStr">
        <is>
          <t>Confabulation</t>
        </is>
      </c>
      <c r="E147" s="6" t="inlineStr">
        <is>
          <t>Confabulation</t>
        </is>
      </c>
      <c r="F147" s="6" t="inlineStr">
        <is>
          <t>AI-CTRL-039, AI-CTRL-045</t>
        </is>
      </c>
      <c r="G147" s="6" t="inlineStr">
        <is>
          <t>AI-R12</t>
        </is>
      </c>
      <c r="H147" s="6" t="inlineStr">
        <is>
          <t>Wiki maps risks directly</t>
        </is>
      </c>
      <c r="I147" s="6" t="inlineStr">
        <is>
          <t>Direct</t>
        </is>
      </c>
      <c r="J147" s="6" t="inlineStr">
        <is>
          <t>Wiki risks: AI-R12; What the match covers: Grounding, citation checks and factual accuracy measures, with human review of outputs.</t>
        </is>
      </c>
      <c r="K147" s="6" t="inlineStr">
        <is>
          <t>https://nachi065.github.io/AI-Security-Wiki/23_Framework_Crosswalks/04_NIST_AI_600_1_GenAI_Profile_Crosswalk.html</t>
        </is>
      </c>
    </row>
    <row r="148">
      <c r="A148" s="157" t="inlineStr">
        <is>
          <t>Risk frameworks</t>
        </is>
      </c>
      <c r="B148" s="157" t="inlineStr">
        <is>
          <t>NIST AI 600-1 GenAI Profile</t>
        </is>
      </c>
      <c r="C148" s="157" t="inlineStr">
        <is>
          <t>AI 600-1 risks to wiki risks and controls</t>
        </is>
      </c>
      <c r="D148" s="157" t="inlineStr">
        <is>
          <t>Dangerous, Violent, or Hateful Content</t>
        </is>
      </c>
      <c r="E148" s="157" t="inlineStr">
        <is>
          <t>Dangerous, Violent, or Hateful Content</t>
        </is>
      </c>
      <c r="F148" s="157" t="inlineStr">
        <is>
          <t>AI-CTRL-034, AI-CTRL-039</t>
        </is>
      </c>
      <c r="G148" s="157" t="inlineStr">
        <is>
          <t>AI-R12, AI-R20</t>
        </is>
      </c>
      <c r="H148" s="157" t="inlineStr">
        <is>
          <t>Wiki maps risks directly</t>
        </is>
      </c>
      <c r="I148" s="157" t="inlineStr">
        <is>
          <t>Partial</t>
        </is>
      </c>
      <c r="J148" s="157" t="inlineStr">
        <is>
          <t>Wiki risks: AI-R12, AI-R20; What the match covers: Covered through harmful content filtering and adversarial testing. TC-L08-018 tests output filters for hate, violence and self-harm content among its categories.</t>
        </is>
      </c>
      <c r="K148" s="157" t="inlineStr">
        <is>
          <t>https://nachi065.github.io/AI-Security-Wiki/23_Framework_Crosswalks/04_NIST_AI_600_1_GenAI_Profile_Crosswalk.html</t>
        </is>
      </c>
    </row>
    <row r="149">
      <c r="A149" s="6" t="inlineStr">
        <is>
          <t>Risk frameworks</t>
        </is>
      </c>
      <c r="B149" s="6" t="inlineStr">
        <is>
          <t>NIST AI 600-1 GenAI Profile</t>
        </is>
      </c>
      <c r="C149" s="6" t="inlineStr">
        <is>
          <t>AI 600-1 risks to wiki risks and controls</t>
        </is>
      </c>
      <c r="D149" s="6" t="inlineStr">
        <is>
          <t>Data Privacy</t>
        </is>
      </c>
      <c r="E149" s="6" t="inlineStr">
        <is>
          <t>Data Privacy</t>
        </is>
      </c>
      <c r="F149" s="6" t="inlineStr">
        <is>
          <t>AI-CTRL-002, AI-CTRL-013, AI-CTRL-017, AI-CTRL-042</t>
        </is>
      </c>
      <c r="G149" s="6" t="inlineStr">
        <is>
          <t>AI-R03, AI-R06, AI-R10</t>
        </is>
      </c>
      <c r="H149" s="6" t="inlineStr">
        <is>
          <t>Wiki maps risks directly</t>
        </is>
      </c>
      <c r="I149" s="6" t="inlineStr">
        <is>
          <t>Direct</t>
        </is>
      </c>
      <c r="J149" s="6" t="inlineStr">
        <is>
          <t>Wiki risks: AI-R03, AI-R06, AI-R10; What the match covers: Leakage through prompts and outputs, third-party processing and impact assessment.</t>
        </is>
      </c>
      <c r="K149" s="6" t="inlineStr">
        <is>
          <t>https://nachi065.github.io/AI-Security-Wiki/23_Framework_Crosswalks/04_NIST_AI_600_1_GenAI_Profile_Crosswalk.html</t>
        </is>
      </c>
    </row>
    <row r="150">
      <c r="A150" s="157" t="inlineStr">
        <is>
          <t>Risk frameworks</t>
        </is>
      </c>
      <c r="B150" s="157" t="inlineStr">
        <is>
          <t>NIST AI 600-1 GenAI Profile</t>
        </is>
      </c>
      <c r="C150" s="157" t="inlineStr">
        <is>
          <t>AI 600-1 risks to wiki risks and controls</t>
        </is>
      </c>
      <c r="D150" s="157" t="inlineStr">
        <is>
          <t>Environmental Impacts</t>
        </is>
      </c>
      <c r="E150" s="157" t="inlineStr">
        <is>
          <t>Environmental Impacts</t>
        </is>
      </c>
      <c r="F150" s="157" t="inlineStr">
        <is>
          <t>AI-CTRL-036</t>
        </is>
      </c>
      <c r="G150" s="157" t="inlineStr">
        <is>
          <t>AI-R35</t>
        </is>
      </c>
      <c r="H150" s="157" t="inlineStr">
        <is>
          <t>Wiki maps risks directly</t>
        </is>
      </c>
      <c r="I150" s="157" t="inlineStr">
        <is>
          <t>Partial</t>
        </is>
      </c>
      <c r="J150" s="157" t="inlineStr">
        <is>
          <t>Wiki risks: AI-R35</t>
        </is>
      </c>
      <c r="K150" s="157" t="inlineStr">
        <is>
          <t>https://nachi065.github.io/AI-Security-Wiki/23_Framework_Crosswalks/04_NIST_AI_600_1_GenAI_Profile_Crosswalk.html</t>
        </is>
      </c>
    </row>
    <row r="151">
      <c r="A151" s="6" t="inlineStr">
        <is>
          <t>Risk frameworks</t>
        </is>
      </c>
      <c r="B151" s="6" t="inlineStr">
        <is>
          <t>NIST AI 600-1 GenAI Profile</t>
        </is>
      </c>
      <c r="C151" s="6" t="inlineStr">
        <is>
          <t>AI 600-1 risks to wiki risks and controls</t>
        </is>
      </c>
      <c r="D151" s="6" t="inlineStr">
        <is>
          <t>Harmful Bias or Homogenization</t>
        </is>
      </c>
      <c r="E151" s="6" t="inlineStr">
        <is>
          <t>Harmful Bias or Homogenization</t>
        </is>
      </c>
      <c r="F151" s="6" t="inlineStr">
        <is>
          <t>AI-CTRL-034, AI-CTRL-041</t>
        </is>
      </c>
      <c r="G151" s="6" t="inlineStr">
        <is>
          <t>AI-R14, AI-R32</t>
        </is>
      </c>
      <c r="H151" s="6" t="inlineStr">
        <is>
          <t>Wiki maps risks directly</t>
        </is>
      </c>
      <c r="I151" s="6" t="inlineStr">
        <is>
          <t>Partial</t>
        </is>
      </c>
      <c r="J151" s="6" t="inlineStr">
        <is>
          <t>Wiki risks: AI-R14, AI-R32; What the match covers: Bias and performance gaps between groups are covered, and AI-R32 covers the same error repeated across the organization's own systems that share a model. Homogenization across society is not.</t>
        </is>
      </c>
      <c r="K151" s="6" t="inlineStr">
        <is>
          <t>https://nachi065.github.io/AI-Security-Wiki/23_Framework_Crosswalks/04_NIST_AI_600_1_GenAI_Profile_Crosswalk.html</t>
        </is>
      </c>
    </row>
    <row r="152">
      <c r="A152" s="157" t="inlineStr">
        <is>
          <t>Risk frameworks</t>
        </is>
      </c>
      <c r="B152" s="157" t="inlineStr">
        <is>
          <t>NIST AI 600-1 GenAI Profile</t>
        </is>
      </c>
      <c r="C152" s="157" t="inlineStr">
        <is>
          <t>AI 600-1 risks to wiki risks and controls</t>
        </is>
      </c>
      <c r="D152" s="157" t="inlineStr">
        <is>
          <t>Human-AI Configuration</t>
        </is>
      </c>
      <c r="E152" s="157" t="inlineStr">
        <is>
          <t>Human-AI Configuration</t>
        </is>
      </c>
      <c r="F152" s="157" t="inlineStr">
        <is>
          <t>AI-CTRL-023, AI-CTRL-044, AI-CTRL-045</t>
        </is>
      </c>
      <c r="G152" s="157" t="inlineStr">
        <is>
          <t>AI-R19, AI-R42</t>
        </is>
      </c>
      <c r="H152" s="157" t="inlineStr">
        <is>
          <t>Wiki maps risks directly</t>
        </is>
      </c>
      <c r="I152" s="157" t="inlineStr">
        <is>
          <t>Partial</t>
        </is>
      </c>
      <c r="J152" s="157" t="inlineStr">
        <is>
          <t>Wiki risks: AI-R19, AI-R42; What the match covers: Over-reliance and automation bias are covered through oversight design and training, and AI-R42 covers anthropomorphism and emotional dependence.</t>
        </is>
      </c>
      <c r="K152" s="157" t="inlineStr">
        <is>
          <t>https://nachi065.github.io/AI-Security-Wiki/23_Framework_Crosswalks/04_NIST_AI_600_1_GenAI_Profile_Crosswalk.html</t>
        </is>
      </c>
    </row>
    <row r="153">
      <c r="A153" s="6" t="inlineStr">
        <is>
          <t>Risk frameworks</t>
        </is>
      </c>
      <c r="B153" s="6" t="inlineStr">
        <is>
          <t>NIST AI 600-1 GenAI Profile</t>
        </is>
      </c>
      <c r="C153" s="6" t="inlineStr">
        <is>
          <t>AI 600-1 risks to wiki risks and controls</t>
        </is>
      </c>
      <c r="D153" s="6" t="inlineStr">
        <is>
          <t>Information Integrity</t>
        </is>
      </c>
      <c r="E153" s="6" t="inlineStr">
        <is>
          <t>Information Integrity</t>
        </is>
      </c>
      <c r="F153" s="6" t="inlineStr">
        <is>
          <t>AI-CTRL-039</t>
        </is>
      </c>
      <c r="G153" s="6" t="inlineStr">
        <is>
          <t>AI-R12, AI-R20</t>
        </is>
      </c>
      <c r="H153" s="6" t="inlineStr">
        <is>
          <t>Wiki maps risks directly</t>
        </is>
      </c>
      <c r="I153" s="6" t="inlineStr">
        <is>
          <t>Partial</t>
        </is>
      </c>
      <c r="J153" s="6" t="inlineStr">
        <is>
          <t>Wiki risks: AI-R12, AI-R20; What the match covers: The accuracy of an organization's own AI output is covered. Disinformation campaigns run by others with generative AI are outside the wiki's scope.</t>
        </is>
      </c>
      <c r="K153" s="6" t="inlineStr">
        <is>
          <t>https://nachi065.github.io/AI-Security-Wiki/23_Framework_Crosswalks/04_NIST_AI_600_1_GenAI_Profile_Crosswalk.html</t>
        </is>
      </c>
    </row>
    <row r="154">
      <c r="A154" s="157" t="inlineStr">
        <is>
          <t>Risk frameworks</t>
        </is>
      </c>
      <c r="B154" s="157" t="inlineStr">
        <is>
          <t>NIST AI 600-1 GenAI Profile</t>
        </is>
      </c>
      <c r="C154" s="157" t="inlineStr">
        <is>
          <t>AI 600-1 risks to wiki risks and controls</t>
        </is>
      </c>
      <c r="D154" s="157" t="inlineStr">
        <is>
          <t>Information Security</t>
        </is>
      </c>
      <c r="E154" s="157" t="inlineStr">
        <is>
          <t>Information Security</t>
        </is>
      </c>
      <c r="F154" s="157" t="inlineStr">
        <is>
          <t>AI-CTRL-005, AI-CTRL-028, AI-CTRL-032, AI-CTRL-034</t>
        </is>
      </c>
      <c r="G154" s="157" t="inlineStr">
        <is>
          <t>AI-R05, AI-R07, AI-R08, AI-R24</t>
        </is>
      </c>
      <c r="H154" s="157" t="inlineStr">
        <is>
          <t>Wiki maps risks directly</t>
        </is>
      </c>
      <c r="I154" s="157" t="inlineStr">
        <is>
          <t>Partial</t>
        </is>
      </c>
      <c r="J154" s="157" t="inlineStr">
        <is>
          <t>Wiki risks: AI-R05, AI-R07, AI-R08, AI-R24; What the match covers: The attack surface of AI systems is the wiki's main subject. Attackers using generative AI to lower the cost of their own operations is discussed in AI for Security and AI-Enabled Threats and is not a register risk.</t>
        </is>
      </c>
      <c r="K154" s="157" t="inlineStr">
        <is>
          <t>https://nachi065.github.io/AI-Security-Wiki/23_Framework_Crosswalks/04_NIST_AI_600_1_GenAI_Profile_Crosswalk.html</t>
        </is>
      </c>
    </row>
    <row r="155">
      <c r="A155" s="6" t="inlineStr">
        <is>
          <t>Risk frameworks</t>
        </is>
      </c>
      <c r="B155" s="6" t="inlineStr">
        <is>
          <t>NIST AI 600-1 GenAI Profile</t>
        </is>
      </c>
      <c r="C155" s="6" t="inlineStr">
        <is>
          <t>AI 600-1 risks to wiki risks and controls</t>
        </is>
      </c>
      <c r="D155" s="6" t="inlineStr">
        <is>
          <t>Intellectual Property</t>
        </is>
      </c>
      <c r="E155" s="6" t="inlineStr">
        <is>
          <t>Intellectual Property</t>
        </is>
      </c>
      <c r="F155" s="6" t="inlineStr">
        <is>
          <t>AI-CTRL-012, AI-CTRL-046</t>
        </is>
      </c>
      <c r="G155" s="6" t="inlineStr">
        <is>
          <t>AI-R27</t>
        </is>
      </c>
      <c r="H155" s="6" t="inlineStr">
        <is>
          <t>Wiki maps risks directly</t>
        </is>
      </c>
      <c r="I155" s="6" t="inlineStr">
        <is>
          <t>Direct</t>
        </is>
      </c>
      <c r="J155" s="6" t="inlineStr">
        <is>
          <t>Wiki risks: AI-R27; What the match covers: Policy on inputs and outputs, vendor terms and training data provenance.</t>
        </is>
      </c>
      <c r="K155" s="6" t="inlineStr">
        <is>
          <t>https://nachi065.github.io/AI-Security-Wiki/23_Framework_Crosswalks/04_NIST_AI_600_1_GenAI_Profile_Crosswalk.html</t>
        </is>
      </c>
    </row>
    <row r="156">
      <c r="A156" s="157" t="inlineStr">
        <is>
          <t>Risk frameworks</t>
        </is>
      </c>
      <c r="B156" s="157" t="inlineStr">
        <is>
          <t>NIST AI 600-1 GenAI Profile</t>
        </is>
      </c>
      <c r="C156" s="157" t="inlineStr">
        <is>
          <t>AI 600-1 risks to wiki risks and controls</t>
        </is>
      </c>
      <c r="D156" s="157" t="inlineStr">
        <is>
          <t>Obscene, Degrading, and/or Abusive Content</t>
        </is>
      </c>
      <c r="E156" s="157" t="inlineStr">
        <is>
          <t>Obscene, Degrading, and/or Abusive Content</t>
        </is>
      </c>
      <c r="F156" s="157" t="inlineStr">
        <is>
          <t>AI-CTRL-039</t>
        </is>
      </c>
      <c r="G156" s="157" t="inlineStr">
        <is>
          <t>AI-R12</t>
        </is>
      </c>
      <c r="H156" s="157" t="inlineStr">
        <is>
          <t>Wiki maps risks directly</t>
        </is>
      </c>
      <c r="I156" s="157" t="inlineStr">
        <is>
          <t>Partial</t>
        </is>
      </c>
      <c r="J156" s="157" t="inlineStr">
        <is>
          <t>Wiki risks: AI-R12; What the match covers: Covered as harmful output. The wiki has no risk or test case specific to synthetic child sexual abuse material or non-consensual intimate images.</t>
        </is>
      </c>
      <c r="K156" s="157" t="inlineStr">
        <is>
          <t>https://nachi065.github.io/AI-Security-Wiki/23_Framework_Crosswalks/04_NIST_AI_600_1_GenAI_Profile_Crosswalk.html</t>
        </is>
      </c>
    </row>
    <row r="157">
      <c r="A157" s="6" t="inlineStr">
        <is>
          <t>Risk frameworks</t>
        </is>
      </c>
      <c r="B157" s="6" t="inlineStr">
        <is>
          <t>NIST AI 600-1 GenAI Profile</t>
        </is>
      </c>
      <c r="C157" s="6" t="inlineStr">
        <is>
          <t>AI 600-1 risks to wiki risks and controls</t>
        </is>
      </c>
      <c r="D157" s="6" t="inlineStr">
        <is>
          <t>Value Chain and Component Integration</t>
        </is>
      </c>
      <c r="E157" s="6" t="inlineStr">
        <is>
          <t>Value Chain and Component Integration</t>
        </is>
      </c>
      <c r="F157" s="6" t="inlineStr">
        <is>
          <t>AI-CTRL-014, AI-CTRL-024, AI-CTRL-031</t>
        </is>
      </c>
      <c r="G157" s="6" t="inlineStr">
        <is>
          <t>AI-R08, AI-R23</t>
        </is>
      </c>
      <c r="H157" s="6" t="inlineStr">
        <is>
          <t>Wiki maps risks directly</t>
        </is>
      </c>
      <c r="I157" s="6" t="inlineStr">
        <is>
          <t>Direct</t>
        </is>
      </c>
      <c r="J157" s="6" t="inlineStr">
        <is>
          <t>Wiki risks: AI-R08, AI-R23; What the match covers: Vendor assurance, AI bill of materials, and governance of plugins and MCP servers.</t>
        </is>
      </c>
      <c r="K157" s="6" t="inlineStr">
        <is>
          <t>https://nachi065.github.io/AI-Security-Wiki/23_Framework_Crosswalks/04_NIST_AI_600_1_GenAI_Profile_Crosswalk.html</t>
        </is>
      </c>
    </row>
    <row r="158">
      <c r="A158" s="157" t="inlineStr">
        <is>
          <t>ISO/IEC standards</t>
        </is>
      </c>
      <c r="B158" s="157" t="inlineStr">
        <is>
          <t>ISO/IEC 42001 Annex A</t>
        </is>
      </c>
      <c r="C158" s="157" t="inlineStr">
        <is>
          <t>Annex A controls</t>
        </is>
      </c>
      <c r="D158" s="157" t="inlineStr">
        <is>
          <t>A.2.2</t>
        </is>
      </c>
      <c r="E158" s="157" t="inlineStr">
        <is>
          <t>AI policy</t>
        </is>
      </c>
      <c r="F158" s="157" t="inlineStr">
        <is>
          <t>AI-CTRL-010, AI-CTRL-012</t>
        </is>
      </c>
      <c r="G158" s="157" t="inlineStr">
        <is>
          <t>AI-R01, AI-R02, AI-R03, AI-R18, AI-R19, AI-R27, AI-R28</t>
        </is>
      </c>
      <c r="H158" s="157" t="inlineStr">
        <is>
          <t>Derived via mapped controls</t>
        </is>
      </c>
      <c r="I158" s="157" t="inlineStr"/>
      <c r="J158" s="157" t="inlineStr">
        <is>
          <t>Test cases under those controls: 34</t>
        </is>
      </c>
      <c r="K158" s="157" t="inlineStr">
        <is>
          <t>https://nachi065.github.io/AI-Security-Wiki/23_Framework_Crosswalks/05_ISO_IEC_42001_Crosswalk.html</t>
        </is>
      </c>
    </row>
    <row r="159">
      <c r="A159" s="6" t="inlineStr">
        <is>
          <t>ISO/IEC standards</t>
        </is>
      </c>
      <c r="B159" s="6" t="inlineStr">
        <is>
          <t>ISO/IEC 42001 Annex A</t>
        </is>
      </c>
      <c r="C159" s="6" t="inlineStr">
        <is>
          <t>Annex A controls</t>
        </is>
      </c>
      <c r="D159" s="6" t="inlineStr">
        <is>
          <t>A.2.3</t>
        </is>
      </c>
      <c r="E159" s="6" t="inlineStr">
        <is>
          <t>Alignment with other organizational policies</t>
        </is>
      </c>
      <c r="F159" s="6" t="inlineStr">
        <is>
          <t>AI-CTRL-012</t>
        </is>
      </c>
      <c r="G159" s="6" t="inlineStr">
        <is>
          <t>AI-R02, AI-R03, AI-R18, AI-R19, AI-R27, AI-R28</t>
        </is>
      </c>
      <c r="H159" s="6" t="inlineStr">
        <is>
          <t>Derived via mapped controls</t>
        </is>
      </c>
      <c r="I159" s="6" t="inlineStr"/>
      <c r="J159" s="6" t="inlineStr">
        <is>
          <t>Test cases under those controls: 8</t>
        </is>
      </c>
      <c r="K159" s="6" t="inlineStr">
        <is>
          <t>https://nachi065.github.io/AI-Security-Wiki/23_Framework_Crosswalks/05_ISO_IEC_42001_Crosswalk.html</t>
        </is>
      </c>
    </row>
    <row r="160">
      <c r="A160" s="157" t="inlineStr">
        <is>
          <t>ISO/IEC standards</t>
        </is>
      </c>
      <c r="B160" s="157" t="inlineStr">
        <is>
          <t>ISO/IEC 42001 Annex A</t>
        </is>
      </c>
      <c r="C160" s="157" t="inlineStr">
        <is>
          <t>Annex A controls</t>
        </is>
      </c>
      <c r="D160" s="157" t="inlineStr">
        <is>
          <t>A.2.4</t>
        </is>
      </c>
      <c r="E160" s="157" t="inlineStr">
        <is>
          <t>Review of the AI policy</t>
        </is>
      </c>
      <c r="F160" s="157" t="inlineStr">
        <is>
          <t>AI-CTRL-012</t>
        </is>
      </c>
      <c r="G160" s="157" t="inlineStr">
        <is>
          <t>AI-R02, AI-R03, AI-R18, AI-R19, AI-R27, AI-R28</t>
        </is>
      </c>
      <c r="H160" s="157" t="inlineStr">
        <is>
          <t>Derived via mapped controls</t>
        </is>
      </c>
      <c r="I160" s="157" t="inlineStr"/>
      <c r="J160" s="157" t="inlineStr">
        <is>
          <t>Test cases under those controls: 8</t>
        </is>
      </c>
      <c r="K160" s="157" t="inlineStr">
        <is>
          <t>https://nachi065.github.io/AI-Security-Wiki/23_Framework_Crosswalks/05_ISO_IEC_42001_Crosswalk.html</t>
        </is>
      </c>
    </row>
    <row r="161">
      <c r="A161" s="6" t="inlineStr">
        <is>
          <t>ISO/IEC standards</t>
        </is>
      </c>
      <c r="B161" s="6" t="inlineStr">
        <is>
          <t>ISO/IEC 42001 Annex A</t>
        </is>
      </c>
      <c r="C161" s="6" t="inlineStr">
        <is>
          <t>Annex A controls</t>
        </is>
      </c>
      <c r="D161" s="6" t="inlineStr">
        <is>
          <t>A.3.2</t>
        </is>
      </c>
      <c r="E161" s="6" t="inlineStr">
        <is>
          <t>AI roles and responsibilities</t>
        </is>
      </c>
      <c r="F161" s="6" t="inlineStr">
        <is>
          <t>AI-CTRL-012</t>
        </is>
      </c>
      <c r="G161" s="6" t="inlineStr">
        <is>
          <t>AI-R02, AI-R03, AI-R18, AI-R19, AI-R27, AI-R28</t>
        </is>
      </c>
      <c r="H161" s="6" t="inlineStr">
        <is>
          <t>Derived via mapped controls</t>
        </is>
      </c>
      <c r="I161" s="6" t="inlineStr"/>
      <c r="J161" s="6" t="inlineStr">
        <is>
          <t>Test cases under those controls: 8</t>
        </is>
      </c>
      <c r="K161" s="6" t="inlineStr">
        <is>
          <t>https://nachi065.github.io/AI-Security-Wiki/23_Framework_Crosswalks/05_ISO_IEC_42001_Crosswalk.html</t>
        </is>
      </c>
    </row>
    <row r="162">
      <c r="A162" s="157" t="inlineStr">
        <is>
          <t>ISO/IEC standards</t>
        </is>
      </c>
      <c r="B162" s="157" t="inlineStr">
        <is>
          <t>ISO/IEC 42001 Annex A</t>
        </is>
      </c>
      <c r="C162" s="157" t="inlineStr">
        <is>
          <t>Annex A controls</t>
        </is>
      </c>
      <c r="D162" s="157" t="inlineStr">
        <is>
          <t>A.3.3</t>
        </is>
      </c>
      <c r="E162" s="157" t="inlineStr">
        <is>
          <t>Reporting of concerns</t>
        </is>
      </c>
      <c r="F162" s="157" t="inlineStr">
        <is>
          <t>AI-CTRL-035</t>
        </is>
      </c>
      <c r="G162" s="157" t="inlineStr">
        <is>
          <t>AI-R09, AI-R20</t>
        </is>
      </c>
      <c r="H162" s="157" t="inlineStr">
        <is>
          <t>Derived via mapped controls</t>
        </is>
      </c>
      <c r="I162" s="157" t="inlineStr"/>
      <c r="J162" s="157" t="inlineStr">
        <is>
          <t>Test cases under those controls: 40</t>
        </is>
      </c>
      <c r="K162" s="157" t="inlineStr">
        <is>
          <t>https://nachi065.github.io/AI-Security-Wiki/23_Framework_Crosswalks/05_ISO_IEC_42001_Crosswalk.html</t>
        </is>
      </c>
    </row>
    <row r="163">
      <c r="A163" s="6" t="inlineStr">
        <is>
          <t>ISO/IEC standards</t>
        </is>
      </c>
      <c r="B163" s="6" t="inlineStr">
        <is>
          <t>ISO/IEC 42001 Annex A</t>
        </is>
      </c>
      <c r="C163" s="6" t="inlineStr">
        <is>
          <t>Annex A controls</t>
        </is>
      </c>
      <c r="D163" s="6" t="inlineStr">
        <is>
          <t>A.4.2</t>
        </is>
      </c>
      <c r="E163" s="6" t="inlineStr">
        <is>
          <t>Resource documentation</t>
        </is>
      </c>
      <c r="F163" s="6" t="inlineStr">
        <is>
          <t>AI-CTRL-001, AI-CTRL-006, AI-CTRL-011, AI-CTRL-031</t>
        </is>
      </c>
      <c r="G163" s="6" t="inlineStr">
        <is>
          <t>AI-R02, AI-R07, AI-R08, AI-R16, AI-R18, AI-R23, AI-R25</t>
        </is>
      </c>
      <c r="H163" s="6" t="inlineStr">
        <is>
          <t>Derived via mapped controls</t>
        </is>
      </c>
      <c r="I163" s="6" t="inlineStr"/>
      <c r="J163" s="6" t="inlineStr">
        <is>
          <t>Test cases under those controls: 87</t>
        </is>
      </c>
      <c r="K163" s="6" t="inlineStr">
        <is>
          <t>https://nachi065.github.io/AI-Security-Wiki/23_Framework_Crosswalks/05_ISO_IEC_42001_Crosswalk.html</t>
        </is>
      </c>
    </row>
    <row r="164">
      <c r="A164" s="157" t="inlineStr">
        <is>
          <t>ISO/IEC standards</t>
        </is>
      </c>
      <c r="B164" s="157" t="inlineStr">
        <is>
          <t>ISO/IEC 42001 Annex A</t>
        </is>
      </c>
      <c r="C164" s="157" t="inlineStr">
        <is>
          <t>Annex A controls</t>
        </is>
      </c>
      <c r="D164" s="157" t="inlineStr">
        <is>
          <t>A.4.3</t>
        </is>
      </c>
      <c r="E164" s="157" t="inlineStr">
        <is>
          <t>Data resources</t>
        </is>
      </c>
      <c r="F164" s="157" t="inlineStr">
        <is>
          <t>AI-CTRL-017</t>
        </is>
      </c>
      <c r="G164" s="157" t="inlineStr">
        <is>
          <t>AI-R01, AI-R03, AI-R06, AI-R17</t>
        </is>
      </c>
      <c r="H164" s="157" t="inlineStr">
        <is>
          <t>Derived via mapped controls</t>
        </is>
      </c>
      <c r="I164" s="157" t="inlineStr"/>
      <c r="J164" s="157" t="inlineStr">
        <is>
          <t>Test cases under those controls: 39</t>
        </is>
      </c>
      <c r="K164" s="157" t="inlineStr">
        <is>
          <t>https://nachi065.github.io/AI-Security-Wiki/23_Framework_Crosswalks/05_ISO_IEC_42001_Crosswalk.html</t>
        </is>
      </c>
    </row>
    <row r="165">
      <c r="A165" s="6" t="inlineStr">
        <is>
          <t>ISO/IEC standards</t>
        </is>
      </c>
      <c r="B165" s="6" t="inlineStr">
        <is>
          <t>ISO/IEC 42001 Annex A</t>
        </is>
      </c>
      <c r="C165" s="6" t="inlineStr">
        <is>
          <t>Annex A controls</t>
        </is>
      </c>
      <c r="D165" s="6" t="inlineStr">
        <is>
          <t>A.4.4</t>
        </is>
      </c>
      <c r="E165" s="6" t="inlineStr">
        <is>
          <t>Tooling resources</t>
        </is>
      </c>
      <c r="F165" s="6" t="inlineStr">
        <is>
          <t>AI-CTRL-004, AI-CTRL-024</t>
        </is>
      </c>
      <c r="G165" s="6" t="inlineStr">
        <is>
          <t>AI-R04, AI-R07, AI-R08, AI-R22, AI-R23, AI-R24</t>
        </is>
      </c>
      <c r="H165" s="6" t="inlineStr">
        <is>
          <t>Derived via mapped controls</t>
        </is>
      </c>
      <c r="I165" s="6" t="inlineStr"/>
      <c r="J165" s="6" t="inlineStr">
        <is>
          <t>Test cases under those controls: 33</t>
        </is>
      </c>
      <c r="K165" s="6" t="inlineStr">
        <is>
          <t>https://nachi065.github.io/AI-Security-Wiki/23_Framework_Crosswalks/05_ISO_IEC_42001_Crosswalk.html</t>
        </is>
      </c>
    </row>
    <row r="166">
      <c r="A166" s="157" t="inlineStr">
        <is>
          <t>ISO/IEC standards</t>
        </is>
      </c>
      <c r="B166" s="157" t="inlineStr">
        <is>
          <t>ISO/IEC 42001 Annex A</t>
        </is>
      </c>
      <c r="C166" s="157" t="inlineStr">
        <is>
          <t>Annex A controls</t>
        </is>
      </c>
      <c r="D166" s="157" t="inlineStr">
        <is>
          <t>A.4.5</t>
        </is>
      </c>
      <c r="E166" s="157" t="inlineStr">
        <is>
          <t>System and computing resources</t>
        </is>
      </c>
      <c r="F166" s="157" t="inlineStr">
        <is>
          <t>AI-CTRL-007, AI-CTRL-027, AI-CTRL-032, AI-CTRL-036, AI-CTRL-040</t>
        </is>
      </c>
      <c r="G166" s="157" t="inlineStr">
        <is>
          <t>AI-R07, AI-R08, AI-R10, AI-R11, AI-R13, AI-R16, AI-R21, AI-R22, AI-R25, AI-R55</t>
        </is>
      </c>
      <c r="H166" s="157" t="inlineStr">
        <is>
          <t>Derived via mapped controls</t>
        </is>
      </c>
      <c r="I166" s="157" t="inlineStr"/>
      <c r="J166" s="157" t="inlineStr">
        <is>
          <t>Test cases under those controls: 97</t>
        </is>
      </c>
      <c r="K166" s="157" t="inlineStr">
        <is>
          <t>https://nachi065.github.io/AI-Security-Wiki/23_Framework_Crosswalks/05_ISO_IEC_42001_Crosswalk.html</t>
        </is>
      </c>
    </row>
    <row r="167">
      <c r="A167" s="6" t="inlineStr">
        <is>
          <t>ISO/IEC standards</t>
        </is>
      </c>
      <c r="B167" s="6" t="inlineStr">
        <is>
          <t>ISO/IEC 42001 Annex A</t>
        </is>
      </c>
      <c r="C167" s="6" t="inlineStr">
        <is>
          <t>Annex A controls</t>
        </is>
      </c>
      <c r="D167" s="6" t="inlineStr">
        <is>
          <t>A.4.6</t>
        </is>
      </c>
      <c r="E167" s="6" t="inlineStr">
        <is>
          <t>Human resources</t>
        </is>
      </c>
      <c r="F167" s="6" t="inlineStr">
        <is>
          <t>AI-CTRL-044</t>
        </is>
      </c>
      <c r="G167" s="6" t="inlineStr">
        <is>
          <t>AI-R02, AI-R19</t>
        </is>
      </c>
      <c r="H167" s="6" t="inlineStr">
        <is>
          <t>Derived via mapped controls</t>
        </is>
      </c>
      <c r="I167" s="6" t="inlineStr"/>
      <c r="J167" s="6" t="inlineStr">
        <is>
          <t>Test cases under those controls: 3</t>
        </is>
      </c>
      <c r="K167" s="6" t="inlineStr">
        <is>
          <t>https://nachi065.github.io/AI-Security-Wiki/23_Framework_Crosswalks/05_ISO_IEC_42001_Crosswalk.html</t>
        </is>
      </c>
    </row>
    <row r="168">
      <c r="A168" s="157" t="inlineStr">
        <is>
          <t>ISO/IEC standards</t>
        </is>
      </c>
      <c r="B168" s="157" t="inlineStr">
        <is>
          <t>ISO/IEC 42001 Annex A</t>
        </is>
      </c>
      <c r="C168" s="157" t="inlineStr">
        <is>
          <t>Annex A controls</t>
        </is>
      </c>
      <c r="D168" s="157" t="inlineStr">
        <is>
          <t>A.5.2</t>
        </is>
      </c>
      <c r="E168" s="157" t="inlineStr">
        <is>
          <t>AI system impact assessment process</t>
        </is>
      </c>
      <c r="F168" s="157" t="inlineStr">
        <is>
          <t>AI-CTRL-011, AI-CTRL-013, AI-CTRL-033, AI-CTRL-042</t>
        </is>
      </c>
      <c r="G168" s="157" t="inlineStr">
        <is>
          <t>AI-R02, AI-R03, AI-R05, AI-R07, AI-R08, AI-R10, AI-R12, AI-R14, AI-R16, AI-R18, AI-R27, AI-R28, AI-R55</t>
        </is>
      </c>
      <c r="H168" s="157" t="inlineStr">
        <is>
          <t>Derived via mapped controls</t>
        </is>
      </c>
      <c r="I168" s="157" t="inlineStr"/>
      <c r="J168" s="157" t="inlineStr">
        <is>
          <t>Test cases under those controls: 68</t>
        </is>
      </c>
      <c r="K168" s="157" t="inlineStr">
        <is>
          <t>https://nachi065.github.io/AI-Security-Wiki/23_Framework_Crosswalks/05_ISO_IEC_42001_Crosswalk.html</t>
        </is>
      </c>
    </row>
    <row r="169">
      <c r="A169" s="6" t="inlineStr">
        <is>
          <t>ISO/IEC standards</t>
        </is>
      </c>
      <c r="B169" s="6" t="inlineStr">
        <is>
          <t>ISO/IEC 42001 Annex A</t>
        </is>
      </c>
      <c r="C169" s="6" t="inlineStr">
        <is>
          <t>Annex A controls</t>
        </is>
      </c>
      <c r="D169" s="6" t="inlineStr">
        <is>
          <t>A.5.3</t>
        </is>
      </c>
      <c r="E169" s="6" t="inlineStr">
        <is>
          <t>Documentation of AI system impact assessments</t>
        </is>
      </c>
      <c r="F169" s="6" t="inlineStr">
        <is>
          <t>AI-CTRL-013, AI-CTRL-042</t>
        </is>
      </c>
      <c r="G169" s="6" t="inlineStr">
        <is>
          <t>AI-R03, AI-R10, AI-R12, AI-R27, AI-R28</t>
        </is>
      </c>
      <c r="H169" s="6" t="inlineStr">
        <is>
          <t>Derived via mapped controls</t>
        </is>
      </c>
      <c r="I169" s="6" t="inlineStr"/>
      <c r="J169" s="6" t="inlineStr">
        <is>
          <t>Test cases under those controls: 43</t>
        </is>
      </c>
      <c r="K169" s="6" t="inlineStr">
        <is>
          <t>https://nachi065.github.io/AI-Security-Wiki/23_Framework_Crosswalks/05_ISO_IEC_42001_Crosswalk.html</t>
        </is>
      </c>
    </row>
    <row r="170">
      <c r="A170" s="157" t="inlineStr">
        <is>
          <t>ISO/IEC standards</t>
        </is>
      </c>
      <c r="B170" s="157" t="inlineStr">
        <is>
          <t>ISO/IEC 42001 Annex A</t>
        </is>
      </c>
      <c r="C170" s="157" t="inlineStr">
        <is>
          <t>Annex A controls</t>
        </is>
      </c>
      <c r="D170" s="157" t="inlineStr">
        <is>
          <t>A.5.4</t>
        </is>
      </c>
      <c r="E170" s="157" t="inlineStr">
        <is>
          <t>Assessing AI system impact on individuals or groups of individuals</t>
        </is>
      </c>
      <c r="F170" s="157" t="inlineStr">
        <is>
          <t>AI-CTRL-013, AI-CTRL-041, AI-CTRL-042</t>
        </is>
      </c>
      <c r="G170" s="157" t="inlineStr">
        <is>
          <t>AI-R03, AI-R10, AI-R12, AI-R14, AI-R15, AI-R27, AI-R28</t>
        </is>
      </c>
      <c r="H170" s="157" t="inlineStr">
        <is>
          <t>Derived via mapped controls</t>
        </is>
      </c>
      <c r="I170" s="157" t="inlineStr"/>
      <c r="J170" s="157" t="inlineStr">
        <is>
          <t>Test cases under those controls: 48</t>
        </is>
      </c>
      <c r="K170" s="157" t="inlineStr">
        <is>
          <t>https://nachi065.github.io/AI-Security-Wiki/23_Framework_Crosswalks/05_ISO_IEC_42001_Crosswalk.html</t>
        </is>
      </c>
    </row>
    <row r="171">
      <c r="A171" s="6" t="inlineStr">
        <is>
          <t>ISO/IEC standards</t>
        </is>
      </c>
      <c r="B171" s="6" t="inlineStr">
        <is>
          <t>ISO/IEC 42001 Annex A</t>
        </is>
      </c>
      <c r="C171" s="6" t="inlineStr">
        <is>
          <t>Annex A controls</t>
        </is>
      </c>
      <c r="D171" s="6" t="inlineStr">
        <is>
          <t>A.5.5</t>
        </is>
      </c>
      <c r="E171" s="6" t="inlineStr">
        <is>
          <t>Assessing societal impacts of AI systems</t>
        </is>
      </c>
      <c r="F171" s="6" t="inlineStr">
        <is>
          <t>AI-CTRL-042</t>
        </is>
      </c>
      <c r="G171" s="6" t="inlineStr">
        <is>
          <t>AI-R10, AI-R12, AI-R28</t>
        </is>
      </c>
      <c r="H171" s="6" t="inlineStr">
        <is>
          <t>Derived via mapped controls</t>
        </is>
      </c>
      <c r="I171" s="6" t="inlineStr"/>
      <c r="J171" s="6" t="inlineStr">
        <is>
          <t>Test cases under those controls: 4</t>
        </is>
      </c>
      <c r="K171" s="6" t="inlineStr">
        <is>
          <t>https://nachi065.github.io/AI-Security-Wiki/23_Framework_Crosswalks/05_ISO_IEC_42001_Crosswalk.html</t>
        </is>
      </c>
    </row>
    <row r="172">
      <c r="A172" s="157" t="inlineStr">
        <is>
          <t>ISO/IEC standards</t>
        </is>
      </c>
      <c r="B172" s="157" t="inlineStr">
        <is>
          <t>ISO/IEC 42001 Annex A</t>
        </is>
      </c>
      <c r="C172" s="157" t="inlineStr">
        <is>
          <t>Annex A controls</t>
        </is>
      </c>
      <c r="D172" s="157" t="inlineStr">
        <is>
          <t>A.6.1.2</t>
        </is>
      </c>
      <c r="E172" s="157" t="inlineStr">
        <is>
          <t>Objectives for responsible development of AI systems</t>
        </is>
      </c>
      <c r="F172" s="157" t="inlineStr">
        <is>
          <t>AI-CTRL-033</t>
        </is>
      </c>
      <c r="G172" s="157" t="inlineStr">
        <is>
          <t>AI-R05, AI-R07, AI-R08, AI-R14, AI-R16, AI-R55</t>
        </is>
      </c>
      <c r="H172" s="157" t="inlineStr">
        <is>
          <t>Derived via mapped controls</t>
        </is>
      </c>
      <c r="I172" s="157" t="inlineStr"/>
      <c r="J172" s="157" t="inlineStr">
        <is>
          <t>Test cases under those controls: 8</t>
        </is>
      </c>
      <c r="K172" s="157" t="inlineStr">
        <is>
          <t>https://nachi065.github.io/AI-Security-Wiki/23_Framework_Crosswalks/05_ISO_IEC_42001_Crosswalk.html</t>
        </is>
      </c>
    </row>
    <row r="173">
      <c r="A173" s="6" t="inlineStr">
        <is>
          <t>ISO/IEC standards</t>
        </is>
      </c>
      <c r="B173" s="6" t="inlineStr">
        <is>
          <t>ISO/IEC 42001 Annex A</t>
        </is>
      </c>
      <c r="C173" s="6" t="inlineStr">
        <is>
          <t>Annex A controls</t>
        </is>
      </c>
      <c r="D173" s="6" t="inlineStr">
        <is>
          <t>A.6.1.3</t>
        </is>
      </c>
      <c r="E173" s="6" t="inlineStr">
        <is>
          <t>Processes for responsible design and development</t>
        </is>
      </c>
      <c r="F173" s="6" t="inlineStr">
        <is>
          <t>AI-CTRL-030, AI-CTRL-033</t>
        </is>
      </c>
      <c r="G173" s="6" t="inlineStr">
        <is>
          <t>AI-R05, AI-R07, AI-R08, AI-R14, AI-R16, AI-R55</t>
        </is>
      </c>
      <c r="H173" s="6" t="inlineStr">
        <is>
          <t>Derived via mapped controls</t>
        </is>
      </c>
      <c r="I173" s="6" t="inlineStr"/>
      <c r="J173" s="6" t="inlineStr">
        <is>
          <t>Test cases under those controls: 23</t>
        </is>
      </c>
      <c r="K173" s="6" t="inlineStr">
        <is>
          <t>https://nachi065.github.io/AI-Security-Wiki/23_Framework_Crosswalks/05_ISO_IEC_42001_Crosswalk.html</t>
        </is>
      </c>
    </row>
    <row r="174">
      <c r="A174" s="157" t="inlineStr">
        <is>
          <t>ISO/IEC standards</t>
        </is>
      </c>
      <c r="B174" s="157" t="inlineStr">
        <is>
          <t>ISO/IEC 42001 Annex A</t>
        </is>
      </c>
      <c r="C174" s="157" t="inlineStr">
        <is>
          <t>Annex A controls</t>
        </is>
      </c>
      <c r="D174" s="157" t="inlineStr">
        <is>
          <t>A.6.2.2</t>
        </is>
      </c>
      <c r="E174" s="157" t="inlineStr">
        <is>
          <t>AI system requirements and specification</t>
        </is>
      </c>
      <c r="F174" s="157" t="inlineStr">
        <is>
          <t>AI-CTRL-022, AI-CTRL-033</t>
        </is>
      </c>
      <c r="G174" s="157" t="inlineStr">
        <is>
          <t>AI-R05, AI-R07, AI-R08, AI-R14, AI-R16, AI-R24, AI-R55</t>
        </is>
      </c>
      <c r="H174" s="157" t="inlineStr">
        <is>
          <t>Derived via mapped controls</t>
        </is>
      </c>
      <c r="I174" s="157" t="inlineStr"/>
      <c r="J174" s="157" t="inlineStr">
        <is>
          <t>Test cases under those controls: 26</t>
        </is>
      </c>
      <c r="K174" s="157" t="inlineStr">
        <is>
          <t>https://nachi065.github.io/AI-Security-Wiki/23_Framework_Crosswalks/05_ISO_IEC_42001_Crosswalk.html</t>
        </is>
      </c>
    </row>
    <row r="175">
      <c r="A175" s="6" t="inlineStr">
        <is>
          <t>ISO/IEC standards</t>
        </is>
      </c>
      <c r="B175" s="6" t="inlineStr">
        <is>
          <t>ISO/IEC 42001 Annex A</t>
        </is>
      </c>
      <c r="C175" s="6" t="inlineStr">
        <is>
          <t>Annex A controls</t>
        </is>
      </c>
      <c r="D175" s="6" t="inlineStr">
        <is>
          <t>A.6.2.3</t>
        </is>
      </c>
      <c r="E175" s="6" t="inlineStr">
        <is>
          <t>Documentation of AI system design and development</t>
        </is>
      </c>
      <c r="F175" s="6" t="inlineStr">
        <is>
          <t>AI-CTRL-030</t>
        </is>
      </c>
      <c r="G175" s="6" t="inlineStr">
        <is>
          <t>AI-R08</t>
        </is>
      </c>
      <c r="H175" s="6" t="inlineStr">
        <is>
          <t>Derived via mapped controls</t>
        </is>
      </c>
      <c r="I175" s="6" t="inlineStr"/>
      <c r="J175" s="6" t="inlineStr">
        <is>
          <t>Test cases under those controls: 16</t>
        </is>
      </c>
      <c r="K175" s="6" t="inlineStr">
        <is>
          <t>https://nachi065.github.io/AI-Security-Wiki/23_Framework_Crosswalks/05_ISO_IEC_42001_Crosswalk.html</t>
        </is>
      </c>
    </row>
    <row r="176">
      <c r="A176" s="157" t="inlineStr">
        <is>
          <t>ISO/IEC standards</t>
        </is>
      </c>
      <c r="B176" s="157" t="inlineStr">
        <is>
          <t>ISO/IEC 42001 Annex A</t>
        </is>
      </c>
      <c r="C176" s="157" t="inlineStr">
        <is>
          <t>Annex A controls</t>
        </is>
      </c>
      <c r="D176" s="157" t="inlineStr">
        <is>
          <t>A.6.2.4</t>
        </is>
      </c>
      <c r="E176" s="157" t="inlineStr">
        <is>
          <t>AI system verification and validation</t>
        </is>
      </c>
      <c r="F176" s="157" t="inlineStr">
        <is>
          <t>AI-CTRL-005, AI-CTRL-020, AI-CTRL-021, AI-CTRL-028, AI-CTRL-033, AI-CTRL-034, AI-CTRL-039, AI-CTRL-041</t>
        </is>
      </c>
      <c r="G176" s="157" t="inlineStr">
        <is>
          <t>AI-R03, AI-R05, AI-R06, AI-R07, AI-R08, AI-R12, AI-R14, AI-R15, AI-R16, AI-R17, AI-R20, AI-R24, AI-R26, AI-R55</t>
        </is>
      </c>
      <c r="H176" s="157" t="inlineStr">
        <is>
          <t>Derived via mapped controls</t>
        </is>
      </c>
      <c r="I176" s="157" t="inlineStr"/>
      <c r="J176" s="157" t="inlineStr">
        <is>
          <t>Test cases under those controls: 163</t>
        </is>
      </c>
      <c r="K176" s="157" t="inlineStr">
        <is>
          <t>https://nachi065.github.io/AI-Security-Wiki/23_Framework_Crosswalks/05_ISO_IEC_42001_Crosswalk.html</t>
        </is>
      </c>
    </row>
    <row r="177">
      <c r="A177" s="6" t="inlineStr">
        <is>
          <t>ISO/IEC standards</t>
        </is>
      </c>
      <c r="B177" s="6" t="inlineStr">
        <is>
          <t>ISO/IEC 42001 Annex A</t>
        </is>
      </c>
      <c r="C177" s="6" t="inlineStr">
        <is>
          <t>Annex A controls</t>
        </is>
      </c>
      <c r="D177" s="6" t="inlineStr">
        <is>
          <t>A.6.2.5</t>
        </is>
      </c>
      <c r="E177" s="6" t="inlineStr">
        <is>
          <t>AI system deployment</t>
        </is>
      </c>
      <c r="F177" s="6" t="inlineStr">
        <is>
          <t>AI-CTRL-027, AI-CTRL-030, AI-CTRL-033</t>
        </is>
      </c>
      <c r="G177" s="6" t="inlineStr">
        <is>
          <t>AI-R05, AI-R07, AI-R08, AI-R14, AI-R16, AI-R21, AI-R22, AI-R25, AI-R55</t>
        </is>
      </c>
      <c r="H177" s="6" t="inlineStr">
        <is>
          <t>Derived via mapped controls</t>
        </is>
      </c>
      <c r="I177" s="6" t="inlineStr"/>
      <c r="J177" s="6" t="inlineStr">
        <is>
          <t>Test cases under those controls: 35</t>
        </is>
      </c>
      <c r="K177" s="6" t="inlineStr">
        <is>
          <t>https://nachi065.github.io/AI-Security-Wiki/23_Framework_Crosswalks/05_ISO_IEC_42001_Crosswalk.html</t>
        </is>
      </c>
    </row>
    <row r="178">
      <c r="A178" s="157" t="inlineStr">
        <is>
          <t>ISO/IEC standards</t>
        </is>
      </c>
      <c r="B178" s="157" t="inlineStr">
        <is>
          <t>ISO/IEC 42001 Annex A</t>
        </is>
      </c>
      <c r="C178" s="157" t="inlineStr">
        <is>
          <t>Annex A controls</t>
        </is>
      </c>
      <c r="D178" s="157" t="inlineStr">
        <is>
          <t>A.6.2.6</t>
        </is>
      </c>
      <c r="E178" s="157" t="inlineStr">
        <is>
          <t>AI system operation and monitoring</t>
        </is>
      </c>
      <c r="F178" s="157" t="inlineStr">
        <is>
          <t>AI-CTRL-005, AI-CTRL-006, AI-CTRL-009, AI-CTRL-020, AI-CTRL-025, AI-CTRL-026, AI-CTRL-028, AI-CTRL-035, AI-CTRL-040</t>
        </is>
      </c>
      <c r="G178" s="157" t="inlineStr">
        <is>
          <t>AI-R05, AI-R06, AI-R07, AI-R08, AI-R09, AI-R11, AI-R13, AI-R16, AI-R20, AI-R21, AI-R24, AI-R25, AI-R26, AI-R55</t>
        </is>
      </c>
      <c r="H178" s="157" t="inlineStr">
        <is>
          <t>Derived via mapped controls</t>
        </is>
      </c>
      <c r="I178" s="157" t="inlineStr"/>
      <c r="J178" s="157" t="inlineStr">
        <is>
          <t>Test cases under those controls: 187</t>
        </is>
      </c>
      <c r="K178" s="157" t="inlineStr">
        <is>
          <t>https://nachi065.github.io/AI-Security-Wiki/23_Framework_Crosswalks/05_ISO_IEC_42001_Crosswalk.html</t>
        </is>
      </c>
    </row>
    <row r="179">
      <c r="A179" s="6" t="inlineStr">
        <is>
          <t>ISO/IEC standards</t>
        </is>
      </c>
      <c r="B179" s="6" t="inlineStr">
        <is>
          <t>ISO/IEC 42001 Annex A</t>
        </is>
      </c>
      <c r="C179" s="6" t="inlineStr">
        <is>
          <t>Annex A controls</t>
        </is>
      </c>
      <c r="D179" s="6" t="inlineStr">
        <is>
          <t>A.6.2.7</t>
        </is>
      </c>
      <c r="E179" s="6" t="inlineStr">
        <is>
          <t>AI system technical documentation</t>
        </is>
      </c>
      <c r="F179" s="6" t="inlineStr">
        <is>
          <t>AI-CTRL-030, AI-CTRL-031</t>
        </is>
      </c>
      <c r="G179" s="6" t="inlineStr">
        <is>
          <t>AI-R08, AI-R16, AI-R23</t>
        </is>
      </c>
      <c r="H179" s="6" t="inlineStr">
        <is>
          <t>Derived via mapped controls</t>
        </is>
      </c>
      <c r="I179" s="6" t="inlineStr"/>
      <c r="J179" s="6" t="inlineStr">
        <is>
          <t>Test cases under those controls: 41</t>
        </is>
      </c>
      <c r="K179" s="6" t="inlineStr">
        <is>
          <t>https://nachi065.github.io/AI-Security-Wiki/23_Framework_Crosswalks/05_ISO_IEC_42001_Crosswalk.html</t>
        </is>
      </c>
    </row>
    <row r="180">
      <c r="A180" s="157" t="inlineStr">
        <is>
          <t>ISO/IEC standards</t>
        </is>
      </c>
      <c r="B180" s="157" t="inlineStr">
        <is>
          <t>ISO/IEC 42001 Annex A</t>
        </is>
      </c>
      <c r="C180" s="157" t="inlineStr">
        <is>
          <t>Annex A controls</t>
        </is>
      </c>
      <c r="D180" s="157" t="inlineStr">
        <is>
          <t>A.6.2.8</t>
        </is>
      </c>
      <c r="E180" s="157" t="inlineStr">
        <is>
          <t>AI system recording of event logs</t>
        </is>
      </c>
      <c r="F180" s="157" t="inlineStr">
        <is>
          <t>AI-CTRL-008, AI-CTRL-009</t>
        </is>
      </c>
      <c r="G180" s="157" t="inlineStr">
        <is>
          <t>AI-R09, AI-R15, AI-R26</t>
        </is>
      </c>
      <c r="H180" s="157" t="inlineStr">
        <is>
          <t>Derived via mapped controls</t>
        </is>
      </c>
      <c r="I180" s="157" t="inlineStr"/>
      <c r="J180" s="157" t="inlineStr">
        <is>
          <t>Test cases under those controls: 44</t>
        </is>
      </c>
      <c r="K180" s="157" t="inlineStr">
        <is>
          <t>https://nachi065.github.io/AI-Security-Wiki/23_Framework_Crosswalks/05_ISO_IEC_42001_Crosswalk.html</t>
        </is>
      </c>
    </row>
    <row r="181">
      <c r="A181" s="6" t="inlineStr">
        <is>
          <t>ISO/IEC standards</t>
        </is>
      </c>
      <c r="B181" s="6" t="inlineStr">
        <is>
          <t>ISO/IEC 42001 Annex A</t>
        </is>
      </c>
      <c r="C181" s="6" t="inlineStr">
        <is>
          <t>Annex A controls</t>
        </is>
      </c>
      <c r="D181" s="6" t="inlineStr">
        <is>
          <t>A.7.2</t>
        </is>
      </c>
      <c r="E181" s="6" t="inlineStr">
        <is>
          <t>Data for development and enhancement of AI system</t>
        </is>
      </c>
      <c r="F181" s="6" t="inlineStr">
        <is>
          <t>AI-CTRL-029</t>
        </is>
      </c>
      <c r="G181" s="6" t="inlineStr">
        <is>
          <t>AI-R08</t>
        </is>
      </c>
      <c r="H181" s="6" t="inlineStr">
        <is>
          <t>Derived via mapped controls</t>
        </is>
      </c>
      <c r="I181" s="6" t="inlineStr"/>
      <c r="J181" s="6" t="inlineStr">
        <is>
          <t>Test cases under those controls: 18</t>
        </is>
      </c>
      <c r="K181" s="6" t="inlineStr">
        <is>
          <t>https://nachi065.github.io/AI-Security-Wiki/23_Framework_Crosswalks/05_ISO_IEC_42001_Crosswalk.html</t>
        </is>
      </c>
    </row>
    <row r="182">
      <c r="A182" s="157" t="inlineStr">
        <is>
          <t>ISO/IEC standards</t>
        </is>
      </c>
      <c r="B182" s="157" t="inlineStr">
        <is>
          <t>ISO/IEC 42001 Annex A</t>
        </is>
      </c>
      <c r="C182" s="157" t="inlineStr">
        <is>
          <t>Annex A controls</t>
        </is>
      </c>
      <c r="D182" s="157" t="inlineStr">
        <is>
          <t>A.7.3</t>
        </is>
      </c>
      <c r="E182" s="157" t="inlineStr">
        <is>
          <t>Acquisition of data</t>
        </is>
      </c>
      <c r="F182" s="157" t="inlineStr">
        <is>
          <t>AI-CTRL-019, AI-CTRL-029</t>
        </is>
      </c>
      <c r="G182" s="157" t="inlineStr">
        <is>
          <t>AI-R05, AI-R08, AI-R17</t>
        </is>
      </c>
      <c r="H182" s="157" t="inlineStr">
        <is>
          <t>Derived via mapped controls</t>
        </is>
      </c>
      <c r="I182" s="157" t="inlineStr"/>
      <c r="J182" s="157" t="inlineStr">
        <is>
          <t>Test cases under those controls: 33</t>
        </is>
      </c>
      <c r="K182" s="157" t="inlineStr">
        <is>
          <t>https://nachi065.github.io/AI-Security-Wiki/23_Framework_Crosswalks/05_ISO_IEC_42001_Crosswalk.html</t>
        </is>
      </c>
    </row>
    <row r="183">
      <c r="A183" s="6" t="inlineStr">
        <is>
          <t>ISO/IEC standards</t>
        </is>
      </c>
      <c r="B183" s="6" t="inlineStr">
        <is>
          <t>ISO/IEC 42001 Annex A</t>
        </is>
      </c>
      <c r="C183" s="6" t="inlineStr">
        <is>
          <t>Annex A controls</t>
        </is>
      </c>
      <c r="D183" s="6" t="inlineStr">
        <is>
          <t>A.7.4</t>
        </is>
      </c>
      <c r="E183" s="6" t="inlineStr">
        <is>
          <t>Quality of data for AI systems</t>
        </is>
      </c>
      <c r="F183" s="6" t="inlineStr">
        <is>
          <t>AI-CTRL-019, AI-CTRL-029</t>
        </is>
      </c>
      <c r="G183" s="6" t="inlineStr">
        <is>
          <t>AI-R05, AI-R08, AI-R17</t>
        </is>
      </c>
      <c r="H183" s="6" t="inlineStr">
        <is>
          <t>Derived via mapped controls</t>
        </is>
      </c>
      <c r="I183" s="6" t="inlineStr"/>
      <c r="J183" s="6" t="inlineStr">
        <is>
          <t>Test cases under those controls: 33</t>
        </is>
      </c>
      <c r="K183" s="6" t="inlineStr">
        <is>
          <t>https://nachi065.github.io/AI-Security-Wiki/23_Framework_Crosswalks/05_ISO_IEC_42001_Crosswalk.html</t>
        </is>
      </c>
    </row>
    <row r="184">
      <c r="A184" s="157" t="inlineStr">
        <is>
          <t>ISO/IEC standards</t>
        </is>
      </c>
      <c r="B184" s="157" t="inlineStr">
        <is>
          <t>ISO/IEC 42001 Annex A</t>
        </is>
      </c>
      <c r="C184" s="157" t="inlineStr">
        <is>
          <t>Annex A controls</t>
        </is>
      </c>
      <c r="D184" s="157" t="inlineStr">
        <is>
          <t>A.7.5</t>
        </is>
      </c>
      <c r="E184" s="157" t="inlineStr">
        <is>
          <t>Data provenance</t>
        </is>
      </c>
      <c r="F184" s="157" t="inlineStr">
        <is>
          <t>AI-CTRL-019, AI-CTRL-029, AI-CTRL-031, AI-CTRL-046</t>
        </is>
      </c>
      <c r="G184" s="157" t="inlineStr">
        <is>
          <t>AI-R05, AI-R08, AI-R16, AI-R17, AI-R23, AI-R27</t>
        </is>
      </c>
      <c r="H184" s="157" t="inlineStr">
        <is>
          <t>Derived via mapped controls</t>
        </is>
      </c>
      <c r="I184" s="157" t="inlineStr"/>
      <c r="J184" s="157" t="inlineStr">
        <is>
          <t>Test cases under those controls: 60</t>
        </is>
      </c>
      <c r="K184" s="157" t="inlineStr">
        <is>
          <t>https://nachi065.github.io/AI-Security-Wiki/23_Framework_Crosswalks/05_ISO_IEC_42001_Crosswalk.html</t>
        </is>
      </c>
    </row>
    <row r="185">
      <c r="A185" s="6" t="inlineStr">
        <is>
          <t>ISO/IEC standards</t>
        </is>
      </c>
      <c r="B185" s="6" t="inlineStr">
        <is>
          <t>ISO/IEC 42001 Annex A</t>
        </is>
      </c>
      <c r="C185" s="6" t="inlineStr">
        <is>
          <t>Annex A controls</t>
        </is>
      </c>
      <c r="D185" s="6" t="inlineStr">
        <is>
          <t>A.7.6</t>
        </is>
      </c>
      <c r="E185" s="6" t="inlineStr">
        <is>
          <t>Data preparation</t>
        </is>
      </c>
      <c r="F185" s="6" t="inlineStr">
        <is>
          <t>AI-CTRL-017</t>
        </is>
      </c>
      <c r="G185" s="6" t="inlineStr">
        <is>
          <t>AI-R01, AI-R03, AI-R06, AI-R17</t>
        </is>
      </c>
      <c r="H185" s="6" t="inlineStr">
        <is>
          <t>Derived via mapped controls</t>
        </is>
      </c>
      <c r="I185" s="6" t="inlineStr"/>
      <c r="J185" s="6" t="inlineStr">
        <is>
          <t>Test cases under those controls: 39</t>
        </is>
      </c>
      <c r="K185" s="6" t="inlineStr">
        <is>
          <t>https://nachi065.github.io/AI-Security-Wiki/23_Framework_Crosswalks/05_ISO_IEC_42001_Crosswalk.html</t>
        </is>
      </c>
    </row>
    <row r="186">
      <c r="A186" s="157" t="inlineStr">
        <is>
          <t>ISO/IEC standards</t>
        </is>
      </c>
      <c r="B186" s="157" t="inlineStr">
        <is>
          <t>ISO/IEC 42001 Annex A</t>
        </is>
      </c>
      <c r="C186" s="157" t="inlineStr">
        <is>
          <t>Annex A controls</t>
        </is>
      </c>
      <c r="D186" s="157" t="inlineStr">
        <is>
          <t>A.8.2</t>
        </is>
      </c>
      <c r="E186" s="157" t="inlineStr">
        <is>
          <t>System documentation and information for users</t>
        </is>
      </c>
      <c r="F186" s="157" t="inlineStr">
        <is>
          <t>AI-CTRL-039, AI-CTRL-041</t>
        </is>
      </c>
      <c r="G186" s="157" t="inlineStr">
        <is>
          <t>AI-R12, AI-R14, AI-R15, AI-R20</t>
        </is>
      </c>
      <c r="H186" s="157" t="inlineStr">
        <is>
          <t>Derived via mapped controls</t>
        </is>
      </c>
      <c r="I186" s="157" t="inlineStr"/>
      <c r="J186" s="157" t="inlineStr">
        <is>
          <t>Test cases under those controls: 15</t>
        </is>
      </c>
      <c r="K186" s="157" t="inlineStr">
        <is>
          <t>https://nachi065.github.io/AI-Security-Wiki/23_Framework_Crosswalks/05_ISO_IEC_42001_Crosswalk.html</t>
        </is>
      </c>
    </row>
    <row r="187">
      <c r="A187" s="6" t="inlineStr">
        <is>
          <t>ISO/IEC standards</t>
        </is>
      </c>
      <c r="B187" s="6" t="inlineStr">
        <is>
          <t>ISO/IEC 42001 Annex A</t>
        </is>
      </c>
      <c r="C187" s="6" t="inlineStr">
        <is>
          <t>Annex A controls</t>
        </is>
      </c>
      <c r="D187" s="6" t="inlineStr">
        <is>
          <t>A.8.3</t>
        </is>
      </c>
      <c r="E187" s="6" t="inlineStr">
        <is>
          <t>External reporting</t>
        </is>
      </c>
      <c r="F187" s="6" t="inlineStr">
        <is>
          <t>AI-CTRL-035, AI-CTRL-043</t>
        </is>
      </c>
      <c r="G187" s="6" t="inlineStr">
        <is>
          <t>AI-R09, AI-R10, AI-R20</t>
        </is>
      </c>
      <c r="H187" s="6" t="inlineStr">
        <is>
          <t>Derived via mapped controls</t>
        </is>
      </c>
      <c r="I187" s="6" t="inlineStr"/>
      <c r="J187" s="6" t="inlineStr">
        <is>
          <t>Test cases under those controls: 42</t>
        </is>
      </c>
      <c r="K187" s="6" t="inlineStr">
        <is>
          <t>https://nachi065.github.io/AI-Security-Wiki/23_Framework_Crosswalks/05_ISO_IEC_42001_Crosswalk.html</t>
        </is>
      </c>
    </row>
    <row r="188">
      <c r="A188" s="157" t="inlineStr">
        <is>
          <t>ISO/IEC standards</t>
        </is>
      </c>
      <c r="B188" s="157" t="inlineStr">
        <is>
          <t>ISO/IEC 42001 Annex A</t>
        </is>
      </c>
      <c r="C188" s="157" t="inlineStr">
        <is>
          <t>Annex A controls</t>
        </is>
      </c>
      <c r="D188" s="157" t="inlineStr">
        <is>
          <t>A.8.4</t>
        </is>
      </c>
      <c r="E188" s="157" t="inlineStr">
        <is>
          <t>Communication of incidents</t>
        </is>
      </c>
      <c r="F188" s="157" t="inlineStr">
        <is>
          <t>AI-CTRL-035</t>
        </is>
      </c>
      <c r="G188" s="157" t="inlineStr">
        <is>
          <t>AI-R09, AI-R20</t>
        </is>
      </c>
      <c r="H188" s="157" t="inlineStr">
        <is>
          <t>Derived via mapped controls</t>
        </is>
      </c>
      <c r="I188" s="157" t="inlineStr"/>
      <c r="J188" s="157" t="inlineStr">
        <is>
          <t>Test cases under those controls: 40</t>
        </is>
      </c>
      <c r="K188" s="157" t="inlineStr">
        <is>
          <t>https://nachi065.github.io/AI-Security-Wiki/23_Framework_Crosswalks/05_ISO_IEC_42001_Crosswalk.html</t>
        </is>
      </c>
    </row>
    <row r="189">
      <c r="A189" s="6" t="inlineStr">
        <is>
          <t>ISO/IEC standards</t>
        </is>
      </c>
      <c r="B189" s="6" t="inlineStr">
        <is>
          <t>ISO/IEC 42001 Annex A</t>
        </is>
      </c>
      <c r="C189" s="6" t="inlineStr">
        <is>
          <t>Annex A controls</t>
        </is>
      </c>
      <c r="D189" s="6" t="inlineStr">
        <is>
          <t>A.8.5</t>
        </is>
      </c>
      <c r="E189" s="6" t="inlineStr">
        <is>
          <t>Information for interested parties</t>
        </is>
      </c>
      <c r="F189" s="6" t="inlineStr">
        <is>
          <t>AI-CTRL-043</t>
        </is>
      </c>
      <c r="G189" s="6" t="inlineStr">
        <is>
          <t>AI-R09, AI-R10</t>
        </is>
      </c>
      <c r="H189" s="6" t="inlineStr">
        <is>
          <t>Derived via mapped controls</t>
        </is>
      </c>
      <c r="I189" s="6" t="inlineStr"/>
      <c r="J189" s="6" t="inlineStr">
        <is>
          <t>Test cases under those controls: 4</t>
        </is>
      </c>
      <c r="K189" s="6" t="inlineStr">
        <is>
          <t>https://nachi065.github.io/AI-Security-Wiki/23_Framework_Crosswalks/05_ISO_IEC_42001_Crosswalk.html</t>
        </is>
      </c>
    </row>
    <row r="190">
      <c r="A190" s="157" t="inlineStr">
        <is>
          <t>ISO/IEC standards</t>
        </is>
      </c>
      <c r="B190" s="157" t="inlineStr">
        <is>
          <t>ISO/IEC 42001 Annex A</t>
        </is>
      </c>
      <c r="C190" s="157" t="inlineStr">
        <is>
          <t>Annex A controls</t>
        </is>
      </c>
      <c r="D190" s="157" t="inlineStr">
        <is>
          <t>A.9.2</t>
        </is>
      </c>
      <c r="E190" s="157" t="inlineStr">
        <is>
          <t>Processes for responsible use of AI systems</t>
        </is>
      </c>
      <c r="F190" s="157" t="inlineStr">
        <is>
          <t>AI-CTRL-002, AI-CTRL-003, AI-CTRL-004, AI-CTRL-010, AI-CTRL-023, AI-CTRL-045</t>
        </is>
      </c>
      <c r="G190" s="157" t="inlineStr">
        <is>
          <t>AI-R01, AI-R02, AI-R03, AI-R04, AI-R07, AI-R12, AI-R14, AI-R18, AI-R19, AI-R22, AI-R27, AI-R28</t>
        </is>
      </c>
      <c r="H190" s="157" t="inlineStr">
        <is>
          <t>Derived via mapped controls</t>
        </is>
      </c>
      <c r="I190" s="157" t="inlineStr"/>
      <c r="J190" s="157" t="inlineStr">
        <is>
          <t>Test cases under those controls: 74</t>
        </is>
      </c>
      <c r="K190" s="157" t="inlineStr">
        <is>
          <t>https://nachi065.github.io/AI-Security-Wiki/23_Framework_Crosswalks/05_ISO_IEC_42001_Crosswalk.html</t>
        </is>
      </c>
    </row>
    <row r="191">
      <c r="A191" s="6" t="inlineStr">
        <is>
          <t>ISO/IEC standards</t>
        </is>
      </c>
      <c r="B191" s="6" t="inlineStr">
        <is>
          <t>ISO/IEC 42001 Annex A</t>
        </is>
      </c>
      <c r="C191" s="6" t="inlineStr">
        <is>
          <t>Annex A controls</t>
        </is>
      </c>
      <c r="D191" s="6" t="inlineStr">
        <is>
          <t>A.9.3</t>
        </is>
      </c>
      <c r="E191" s="6" t="inlineStr">
        <is>
          <t>Objectives for responsible use of AI system</t>
        </is>
      </c>
      <c r="F191" s="6" t="inlineStr">
        <is>
          <t>AI-CTRL-023, AI-CTRL-045</t>
        </is>
      </c>
      <c r="G191" s="6" t="inlineStr">
        <is>
          <t>AI-R07, AI-R12, AI-R14, AI-R18, AI-R19, AI-R28</t>
        </is>
      </c>
      <c r="H191" s="6" t="inlineStr">
        <is>
          <t>Derived via mapped controls</t>
        </is>
      </c>
      <c r="I191" s="6" t="inlineStr"/>
      <c r="J191" s="6" t="inlineStr">
        <is>
          <t>Test cases under those controls: 10</t>
        </is>
      </c>
      <c r="K191" s="6" t="inlineStr">
        <is>
          <t>https://nachi065.github.io/AI-Security-Wiki/23_Framework_Crosswalks/05_ISO_IEC_42001_Crosswalk.html</t>
        </is>
      </c>
    </row>
    <row r="192">
      <c r="A192" s="157" t="inlineStr">
        <is>
          <t>ISO/IEC standards</t>
        </is>
      </c>
      <c r="B192" s="157" t="inlineStr">
        <is>
          <t>ISO/IEC 42001 Annex A</t>
        </is>
      </c>
      <c r="C192" s="157" t="inlineStr">
        <is>
          <t>Annex A controls</t>
        </is>
      </c>
      <c r="D192" s="157" t="inlineStr">
        <is>
          <t>A.9.4</t>
        </is>
      </c>
      <c r="E192" s="157" t="inlineStr">
        <is>
          <t>Intended use of the AI system</t>
        </is>
      </c>
      <c r="F192" s="157" t="inlineStr">
        <is>
          <t>AI-CTRL-011</t>
        </is>
      </c>
      <c r="G192" s="157" t="inlineStr">
        <is>
          <t>AI-R02, AI-R18</t>
        </is>
      </c>
      <c r="H192" s="157" t="inlineStr">
        <is>
          <t>Derived via mapped controls</t>
        </is>
      </c>
      <c r="I192" s="157" t="inlineStr"/>
      <c r="J192" s="157" t="inlineStr">
        <is>
          <t>Test cases under those controls: 19</t>
        </is>
      </c>
      <c r="K192" s="157" t="inlineStr">
        <is>
          <t>https://nachi065.github.io/AI-Security-Wiki/23_Framework_Crosswalks/05_ISO_IEC_42001_Crosswalk.html</t>
        </is>
      </c>
    </row>
    <row r="193">
      <c r="A193" s="6" t="inlineStr">
        <is>
          <t>ISO/IEC standards</t>
        </is>
      </c>
      <c r="B193" s="6" t="inlineStr">
        <is>
          <t>ISO/IEC 42001 Annex A</t>
        </is>
      </c>
      <c r="C193" s="6" t="inlineStr">
        <is>
          <t>Annex A controls</t>
        </is>
      </c>
      <c r="D193" s="6" t="inlineStr">
        <is>
          <t>A.10.2</t>
        </is>
      </c>
      <c r="E193" s="6" t="inlineStr">
        <is>
          <t>Allocating responsibilities</t>
        </is>
      </c>
      <c r="F193" s="6" t="inlineStr">
        <is>
          <t>AI-CTRL-014</t>
        </is>
      </c>
      <c r="G193" s="6" t="inlineStr">
        <is>
          <t>AI-R08, AI-R10, AI-R16</t>
        </is>
      </c>
      <c r="H193" s="6" t="inlineStr">
        <is>
          <t>Derived via mapped controls</t>
        </is>
      </c>
      <c r="I193" s="6" t="inlineStr"/>
      <c r="J193" s="6" t="inlineStr">
        <is>
          <t>Test cases under those controls: 26</t>
        </is>
      </c>
      <c r="K193" s="6" t="inlineStr">
        <is>
          <t>https://nachi065.github.io/AI-Security-Wiki/23_Framework_Crosswalks/05_ISO_IEC_42001_Crosswalk.html</t>
        </is>
      </c>
    </row>
    <row r="194">
      <c r="A194" s="157" t="inlineStr">
        <is>
          <t>ISO/IEC standards</t>
        </is>
      </c>
      <c r="B194" s="157" t="inlineStr">
        <is>
          <t>ISO/IEC 42001 Annex A</t>
        </is>
      </c>
      <c r="C194" s="157" t="inlineStr">
        <is>
          <t>Annex A controls</t>
        </is>
      </c>
      <c r="D194" s="157" t="inlineStr">
        <is>
          <t>A.10.3</t>
        </is>
      </c>
      <c r="E194" s="157" t="inlineStr">
        <is>
          <t>Suppliers</t>
        </is>
      </c>
      <c r="F194" s="157" t="inlineStr">
        <is>
          <t>AI-CTRL-007, AI-CTRL-014, AI-CTRL-024, AI-CTRL-031, AI-CTRL-046</t>
        </is>
      </c>
      <c r="G194" s="157" t="inlineStr">
        <is>
          <t>AI-R07, AI-R08, AI-R10, AI-R16, AI-R23, AI-R24, AI-R27</t>
        </is>
      </c>
      <c r="H194" s="157" t="inlineStr">
        <is>
          <t>Derived via mapped controls</t>
        </is>
      </c>
      <c r="I194" s="157" t="inlineStr"/>
      <c r="J194" s="157" t="inlineStr">
        <is>
          <t>Test cases under those controls: 81</t>
        </is>
      </c>
      <c r="K194" s="157" t="inlineStr">
        <is>
          <t>https://nachi065.github.io/AI-Security-Wiki/23_Framework_Crosswalks/05_ISO_IEC_42001_Crosswalk.html</t>
        </is>
      </c>
    </row>
    <row r="195">
      <c r="A195" s="6" t="inlineStr">
        <is>
          <t>ISO/IEC standards</t>
        </is>
      </c>
      <c r="B195" s="6" t="inlineStr">
        <is>
          <t>ISO/IEC 42001 Annex A</t>
        </is>
      </c>
      <c r="C195" s="6" t="inlineStr">
        <is>
          <t>Annex A controls</t>
        </is>
      </c>
      <c r="D195" s="6" t="inlineStr">
        <is>
          <t>A.10.4</t>
        </is>
      </c>
      <c r="E195" s="6" t="inlineStr">
        <is>
          <t>Customers</t>
        </is>
      </c>
      <c r="F195" s="6" t="inlineStr">
        <is>
          <t>AI-CTRL-041</t>
        </is>
      </c>
      <c r="G195" s="6" t="inlineStr">
        <is>
          <t>AI-R12, AI-R14, AI-R15</t>
        </is>
      </c>
      <c r="H195" s="6" t="inlineStr">
        <is>
          <t>Derived via mapped controls</t>
        </is>
      </c>
      <c r="I195" s="6" t="inlineStr"/>
      <c r="J195" s="6" t="inlineStr">
        <is>
          <t>Test cases under those controls: 7</t>
        </is>
      </c>
      <c r="K195" s="6" t="inlineStr">
        <is>
          <t>https://nachi065.github.io/AI-Security-Wiki/23_Framework_Crosswalks/05_ISO_IEC_42001_Crosswalk.html</t>
        </is>
      </c>
    </row>
    <row r="196">
      <c r="A196" s="157" t="inlineStr">
        <is>
          <t>ISO/IEC standards</t>
        </is>
      </c>
      <c r="B196" s="157" t="inlineStr">
        <is>
          <t>ISO/IEC 42001 clauses</t>
        </is>
      </c>
      <c r="C196" s="157" t="inlineStr">
        <is>
          <t>Management system clauses</t>
        </is>
      </c>
      <c r="D196" s="157" t="inlineStr">
        <is>
          <t>Clause 4.2</t>
        </is>
      </c>
      <c r="E196" s="157" t="inlineStr">
        <is>
          <t>Understanding the needs and expectations of interested parties</t>
        </is>
      </c>
      <c r="F196" s="157" t="inlineStr">
        <is>
          <t>AI-CTRL-043</t>
        </is>
      </c>
      <c r="G196" s="157" t="inlineStr">
        <is>
          <t>AI-R09, AI-R10</t>
        </is>
      </c>
      <c r="H196" s="157" t="inlineStr">
        <is>
          <t>Derived via mapped controls</t>
        </is>
      </c>
      <c r="I196" s="157" t="inlineStr"/>
      <c r="J196" s="157" t="inlineStr">
        <is>
          <t>Test cases under those controls: 4</t>
        </is>
      </c>
      <c r="K196" s="157" t="inlineStr">
        <is>
          <t>https://nachi065.github.io/AI-Security-Wiki/23_Framework_Crosswalks/05_ISO_IEC_42001_Crosswalk.html</t>
        </is>
      </c>
    </row>
    <row r="197">
      <c r="A197" s="6" t="inlineStr">
        <is>
          <t>ISO/IEC standards</t>
        </is>
      </c>
      <c r="B197" s="6" t="inlineStr">
        <is>
          <t>ISO/IEC 42001 clauses</t>
        </is>
      </c>
      <c r="C197" s="6" t="inlineStr">
        <is>
          <t>Management system clauses</t>
        </is>
      </c>
      <c r="D197" s="6" t="inlineStr">
        <is>
          <t>Clause 6.1.2</t>
        </is>
      </c>
      <c r="E197" s="6" t="inlineStr">
        <is>
          <t>AI risk assessment</t>
        </is>
      </c>
      <c r="F197" s="6" t="inlineStr">
        <is>
          <t>AI-CTRL-037</t>
        </is>
      </c>
      <c r="G197" s="6" t="inlineStr">
        <is>
          <t>AI-R02, AI-R18, AI-R28, AI-R55</t>
        </is>
      </c>
      <c r="H197" s="6" t="inlineStr">
        <is>
          <t>Derived via mapped controls</t>
        </is>
      </c>
      <c r="I197" s="6" t="inlineStr"/>
      <c r="J197" s="6" t="inlineStr">
        <is>
          <t>Test cases under those controls: 10</t>
        </is>
      </c>
      <c r="K197" s="6" t="inlineStr">
        <is>
          <t>https://nachi065.github.io/AI-Security-Wiki/23_Framework_Crosswalks/05_ISO_IEC_42001_Crosswalk.html</t>
        </is>
      </c>
    </row>
    <row r="198">
      <c r="A198" s="157" t="inlineStr">
        <is>
          <t>ISO/IEC standards</t>
        </is>
      </c>
      <c r="B198" s="157" t="inlineStr">
        <is>
          <t>ISO/IEC 42001 clauses</t>
        </is>
      </c>
      <c r="C198" s="157" t="inlineStr">
        <is>
          <t>Management system clauses</t>
        </is>
      </c>
      <c r="D198" s="157" t="inlineStr">
        <is>
          <t>Clause 6.1.3</t>
        </is>
      </c>
      <c r="E198" s="157" t="inlineStr">
        <is>
          <t>AI risk treatment</t>
        </is>
      </c>
      <c r="F198" s="157" t="inlineStr">
        <is>
          <t>AI-CTRL-037</t>
        </is>
      </c>
      <c r="G198" s="157" t="inlineStr">
        <is>
          <t>AI-R02, AI-R18, AI-R28, AI-R55</t>
        </is>
      </c>
      <c r="H198" s="157" t="inlineStr">
        <is>
          <t>Derived via mapped controls</t>
        </is>
      </c>
      <c r="I198" s="157" t="inlineStr"/>
      <c r="J198" s="157" t="inlineStr">
        <is>
          <t>Test cases under those controls: 10</t>
        </is>
      </c>
      <c r="K198" s="157" t="inlineStr">
        <is>
          <t>https://nachi065.github.io/AI-Security-Wiki/23_Framework_Crosswalks/05_ISO_IEC_42001_Crosswalk.html</t>
        </is>
      </c>
    </row>
    <row r="199">
      <c r="A199" s="6" t="inlineStr">
        <is>
          <t>ISO/IEC standards</t>
        </is>
      </c>
      <c r="B199" s="6" t="inlineStr">
        <is>
          <t>ISO/IEC 42001 clauses</t>
        </is>
      </c>
      <c r="C199" s="6" t="inlineStr">
        <is>
          <t>Management system clauses</t>
        </is>
      </c>
      <c r="D199" s="6" t="inlineStr">
        <is>
          <t>Clause 7.2</t>
        </is>
      </c>
      <c r="E199" s="6" t="inlineStr">
        <is>
          <t>Competence</t>
        </is>
      </c>
      <c r="F199" s="6" t="inlineStr">
        <is>
          <t>AI-CTRL-044</t>
        </is>
      </c>
      <c r="G199" s="6" t="inlineStr">
        <is>
          <t>AI-R02, AI-R19</t>
        </is>
      </c>
      <c r="H199" s="6" t="inlineStr">
        <is>
          <t>Derived via mapped controls</t>
        </is>
      </c>
      <c r="I199" s="6" t="inlineStr"/>
      <c r="J199" s="6" t="inlineStr">
        <is>
          <t>Test cases under those controls: 3</t>
        </is>
      </c>
      <c r="K199" s="6" t="inlineStr">
        <is>
          <t>https://nachi065.github.io/AI-Security-Wiki/23_Framework_Crosswalks/05_ISO_IEC_42001_Crosswalk.html</t>
        </is>
      </c>
    </row>
    <row r="200">
      <c r="A200" s="157" t="inlineStr">
        <is>
          <t>ISO/IEC standards</t>
        </is>
      </c>
      <c r="B200" s="157" t="inlineStr">
        <is>
          <t>ISO/IEC 42001 clauses</t>
        </is>
      </c>
      <c r="C200" s="157" t="inlineStr">
        <is>
          <t>Management system clauses</t>
        </is>
      </c>
      <c r="D200" s="157" t="inlineStr">
        <is>
          <t>Clause 7.3</t>
        </is>
      </c>
      <c r="E200" s="157" t="inlineStr">
        <is>
          <t>Awareness</t>
        </is>
      </c>
      <c r="F200" s="157" t="inlineStr">
        <is>
          <t>AI-CTRL-044</t>
        </is>
      </c>
      <c r="G200" s="157" t="inlineStr">
        <is>
          <t>AI-R02, AI-R19</t>
        </is>
      </c>
      <c r="H200" s="157" t="inlineStr">
        <is>
          <t>Derived via mapped controls</t>
        </is>
      </c>
      <c r="I200" s="157" t="inlineStr"/>
      <c r="J200" s="157" t="inlineStr">
        <is>
          <t>Test cases under those controls: 3</t>
        </is>
      </c>
      <c r="K200" s="157" t="inlineStr">
        <is>
          <t>https://nachi065.github.io/AI-Security-Wiki/23_Framework_Crosswalks/05_ISO_IEC_42001_Crosswalk.html</t>
        </is>
      </c>
    </row>
    <row r="201">
      <c r="A201" s="6" t="inlineStr">
        <is>
          <t>ISO/IEC standards</t>
        </is>
      </c>
      <c r="B201" s="6" t="inlineStr">
        <is>
          <t>ISO/IEC 42001 clauses</t>
        </is>
      </c>
      <c r="C201" s="6" t="inlineStr">
        <is>
          <t>Management system clauses</t>
        </is>
      </c>
      <c r="D201" s="6" t="inlineStr">
        <is>
          <t>Clause 9.1</t>
        </is>
      </c>
      <c r="E201" s="6" t="inlineStr">
        <is>
          <t>Monitoring, measurement, analysis and evaluation</t>
        </is>
      </c>
      <c r="F201" s="6" t="inlineStr">
        <is>
          <t>AI-CTRL-038</t>
        </is>
      </c>
      <c r="G201" s="6" t="inlineStr">
        <is>
          <t>AI-R09, AI-R15, AI-R28</t>
        </is>
      </c>
      <c r="H201" s="6" t="inlineStr">
        <is>
          <t>Derived via mapped controls</t>
        </is>
      </c>
      <c r="I201" s="6" t="inlineStr"/>
      <c r="J201" s="6" t="inlineStr">
        <is>
          <t>Test cases under those controls: 17</t>
        </is>
      </c>
      <c r="K201" s="6" t="inlineStr">
        <is>
          <t>https://nachi065.github.io/AI-Security-Wiki/23_Framework_Crosswalks/05_ISO_IEC_42001_Crosswalk.html</t>
        </is>
      </c>
    </row>
    <row r="202">
      <c r="A202" s="157" t="inlineStr">
        <is>
          <t>ISO/IEC standards</t>
        </is>
      </c>
      <c r="B202" s="157" t="inlineStr">
        <is>
          <t>ISO/IEC 42001 clauses</t>
        </is>
      </c>
      <c r="C202" s="157" t="inlineStr">
        <is>
          <t>Management system clauses</t>
        </is>
      </c>
      <c r="D202" s="157" t="inlineStr">
        <is>
          <t>Clause 9.2</t>
        </is>
      </c>
      <c r="E202" s="157" t="inlineStr">
        <is>
          <t>Internal audit</t>
        </is>
      </c>
      <c r="F202" s="157" t="inlineStr">
        <is>
          <t>AI-CTRL-038</t>
        </is>
      </c>
      <c r="G202" s="157" t="inlineStr">
        <is>
          <t>AI-R09, AI-R15, AI-R28</t>
        </is>
      </c>
      <c r="H202" s="157" t="inlineStr">
        <is>
          <t>Derived via mapped controls</t>
        </is>
      </c>
      <c r="I202" s="157" t="inlineStr"/>
      <c r="J202" s="157" t="inlineStr">
        <is>
          <t>Test cases under those controls: 17</t>
        </is>
      </c>
      <c r="K202" s="157" t="inlineStr">
        <is>
          <t>https://nachi065.github.io/AI-Security-Wiki/23_Framework_Crosswalks/05_ISO_IEC_42001_Crosswalk.html</t>
        </is>
      </c>
    </row>
    <row r="203">
      <c r="A203" s="6" t="inlineStr">
        <is>
          <t>ISO/IEC standards</t>
        </is>
      </c>
      <c r="B203" s="6" t="inlineStr">
        <is>
          <t>ISO/IEC 42001 clauses</t>
        </is>
      </c>
      <c r="C203" s="6" t="inlineStr">
        <is>
          <t>Management system clauses</t>
        </is>
      </c>
      <c r="D203" s="6" t="inlineStr">
        <is>
          <t>Clause 9.3</t>
        </is>
      </c>
      <c r="E203" s="6" t="inlineStr">
        <is>
          <t>Management review</t>
        </is>
      </c>
      <c r="F203" s="6" t="inlineStr">
        <is>
          <t>AI-CTRL-038</t>
        </is>
      </c>
      <c r="G203" s="6" t="inlineStr">
        <is>
          <t>AI-R09, AI-R15, AI-R28</t>
        </is>
      </c>
      <c r="H203" s="6" t="inlineStr">
        <is>
          <t>Derived via mapped controls</t>
        </is>
      </c>
      <c r="I203" s="6" t="inlineStr"/>
      <c r="J203" s="6" t="inlineStr">
        <is>
          <t>Test cases under those controls: 17</t>
        </is>
      </c>
      <c r="K203" s="6" t="inlineStr">
        <is>
          <t>https://nachi065.github.io/AI-Security-Wiki/23_Framework_Crosswalks/05_ISO_IEC_42001_Crosswalk.html</t>
        </is>
      </c>
    </row>
    <row r="204">
      <c r="A204" s="157" t="inlineStr">
        <is>
          <t>ISO/IEC standards</t>
        </is>
      </c>
      <c r="B204" s="157" t="inlineStr">
        <is>
          <t>ISO/IEC 42001 clauses</t>
        </is>
      </c>
      <c r="C204" s="157" t="inlineStr">
        <is>
          <t>Management system clauses</t>
        </is>
      </c>
      <c r="D204" s="157" t="inlineStr">
        <is>
          <t>Clause 10.2</t>
        </is>
      </c>
      <c r="E204" s="157" t="inlineStr">
        <is>
          <t>Nonconformity and corrective action</t>
        </is>
      </c>
      <c r="F204" s="157" t="inlineStr">
        <is>
          <t>AI-CTRL-038</t>
        </is>
      </c>
      <c r="G204" s="157" t="inlineStr">
        <is>
          <t>AI-R09, AI-R15, AI-R28</t>
        </is>
      </c>
      <c r="H204" s="157" t="inlineStr">
        <is>
          <t>Derived via mapped controls</t>
        </is>
      </c>
      <c r="I204" s="157" t="inlineStr"/>
      <c r="J204" s="157" t="inlineStr">
        <is>
          <t>Test cases under those controls: 17</t>
        </is>
      </c>
      <c r="K204" s="157" t="inlineStr">
        <is>
          <t>https://nachi065.github.io/AI-Security-Wiki/23_Framework_Crosswalks/05_ISO_IEC_42001_Crosswalk.html</t>
        </is>
      </c>
    </row>
    <row r="205">
      <c r="A205" s="6" t="inlineStr">
        <is>
          <t>AI security</t>
        </is>
      </c>
      <c r="B205" s="6" t="inlineStr">
        <is>
          <t>OWASP LLM Top 10 (2025)</t>
        </is>
      </c>
      <c r="C205" s="6" t="inlineStr">
        <is>
          <t>Top 10 for LLM Applications 2025</t>
        </is>
      </c>
      <c r="D205" s="6" t="inlineStr">
        <is>
          <t>LLM01:2025</t>
        </is>
      </c>
      <c r="E205" s="6" t="inlineStr">
        <is>
          <t>Prompt Injection</t>
        </is>
      </c>
      <c r="F205" s="6" t="inlineStr">
        <is>
          <t>AI-CTRL-005, AI-CTRL-021, AI-CTRL-026, AI-CTRL-034</t>
        </is>
      </c>
      <c r="G205" s="6" t="inlineStr">
        <is>
          <t>AI-R03, AI-R05, AI-R06, AI-R07, AI-R16, AI-R17, AI-R20, AI-R21, AI-R24</t>
        </is>
      </c>
      <c r="H205" s="6" t="inlineStr">
        <is>
          <t>Derived via mapped controls</t>
        </is>
      </c>
      <c r="I205" s="6" t="inlineStr"/>
      <c r="J205" s="6" t="inlineStr">
        <is>
          <t>Test cases under those controls: 119; Test cases that cite it: 66</t>
        </is>
      </c>
      <c r="K205" s="6" t="inlineStr">
        <is>
          <t>https://nachi065.github.io/AI-Security-Wiki/23_Framework_Crosswalks/06_OWASP_Top_10_Crosswalk.html</t>
        </is>
      </c>
    </row>
    <row r="206">
      <c r="A206" s="157" t="inlineStr">
        <is>
          <t>AI security</t>
        </is>
      </c>
      <c r="B206" s="157" t="inlineStr">
        <is>
          <t>OWASP LLM Top 10 (2025)</t>
        </is>
      </c>
      <c r="C206" s="157" t="inlineStr">
        <is>
          <t>Top 10 for LLM Applications 2025</t>
        </is>
      </c>
      <c r="D206" s="157" t="inlineStr">
        <is>
          <t>LLM02:2025</t>
        </is>
      </c>
      <c r="E206" s="157" t="inlineStr">
        <is>
          <t>Sensitive Information Disclosure</t>
        </is>
      </c>
      <c r="F206" s="157" t="inlineStr">
        <is>
          <t>AI-CTRL-002, AI-CTRL-003, AI-CTRL-004, AI-CTRL-010, AI-CTRL-013, AI-CTRL-017, AI-CTRL-018, AI-CTRL-020, AI-CTRL-021, AI-CTRL-028, AI-CTRL-034</t>
        </is>
      </c>
      <c r="G206" s="157" t="inlineStr">
        <is>
          <t>AI-R01, AI-R02, AI-R03, AI-R04, AI-R05, AI-R06, AI-R07, AI-R08, AI-R10, AI-R16, AI-R17, AI-R20, AI-R22, AI-R24, AI-R26, AI-R27, AI-R28</t>
        </is>
      </c>
      <c r="H206" s="157" t="inlineStr">
        <is>
          <t>Derived via mapped controls</t>
        </is>
      </c>
      <c r="I206" s="157" t="inlineStr"/>
      <c r="J206" s="157" t="inlineStr">
        <is>
          <t>Test cases under those controls: 232; Test cases that cite it: 96</t>
        </is>
      </c>
      <c r="K206" s="157" t="inlineStr">
        <is>
          <t>https://nachi065.github.io/AI-Security-Wiki/23_Framework_Crosswalks/06_OWASP_Top_10_Crosswalk.html</t>
        </is>
      </c>
    </row>
    <row r="207">
      <c r="A207" s="6" t="inlineStr">
        <is>
          <t>AI security</t>
        </is>
      </c>
      <c r="B207" s="6" t="inlineStr">
        <is>
          <t>OWASP LLM Top 10 (2025)</t>
        </is>
      </c>
      <c r="C207" s="6" t="inlineStr">
        <is>
          <t>Top 10 for LLM Applications 2025</t>
        </is>
      </c>
      <c r="D207" s="6" t="inlineStr">
        <is>
          <t>LLM03:2025</t>
        </is>
      </c>
      <c r="E207" s="6" t="inlineStr">
        <is>
          <t>Supply Chain</t>
        </is>
      </c>
      <c r="F207" s="6" t="inlineStr">
        <is>
          <t>AI-CTRL-001, AI-CTRL-004, AI-CTRL-014, AI-CTRL-024, AI-CTRL-030, AI-CTRL-031, AI-CTRL-032, AI-CTRL-034</t>
        </is>
      </c>
      <c r="G207" s="6" t="inlineStr">
        <is>
          <t>AI-R02, AI-R04, AI-R05, AI-R07, AI-R08, AI-R10, AI-R16, AI-R17, AI-R20, AI-R22, AI-R23, AI-R24</t>
        </is>
      </c>
      <c r="H207" s="6" t="inlineStr">
        <is>
          <t>Derived via mapped controls</t>
        </is>
      </c>
      <c r="I207" s="6" t="inlineStr"/>
      <c r="J207" s="6" t="inlineStr">
        <is>
          <t>Test cases under those controls: 182; Test cases that cite it: 81</t>
        </is>
      </c>
      <c r="K207" s="6" t="inlineStr">
        <is>
          <t>https://nachi065.github.io/AI-Security-Wiki/23_Framework_Crosswalks/06_OWASP_Top_10_Crosswalk.html</t>
        </is>
      </c>
    </row>
    <row r="208">
      <c r="A208" s="157" t="inlineStr">
        <is>
          <t>AI security</t>
        </is>
      </c>
      <c r="B208" s="157" t="inlineStr">
        <is>
          <t>OWASP LLM Top 10 (2025)</t>
        </is>
      </c>
      <c r="C208" s="157" t="inlineStr">
        <is>
          <t>Top 10 for LLM Applications 2025</t>
        </is>
      </c>
      <c r="D208" s="157" t="inlineStr">
        <is>
          <t>LLM04:2025</t>
        </is>
      </c>
      <c r="E208" s="157" t="inlineStr">
        <is>
          <t>Data and Model Poisoning</t>
        </is>
      </c>
      <c r="F208" s="157" t="inlineStr">
        <is>
          <t>AI-CTRL-019, AI-CTRL-026, AI-CTRL-029, AI-CTRL-030, AI-CTRL-034</t>
        </is>
      </c>
      <c r="G208" s="157" t="inlineStr">
        <is>
          <t>AI-R05, AI-R07, AI-R08, AI-R16, AI-R17, AI-R20, AI-R21</t>
        </is>
      </c>
      <c r="H208" s="157" t="inlineStr">
        <is>
          <t>Derived via mapped controls</t>
        </is>
      </c>
      <c r="I208" s="157" t="inlineStr"/>
      <c r="J208" s="157" t="inlineStr">
        <is>
          <t>Test cases under those controls: 92; Test cases that cite it: 15</t>
        </is>
      </c>
      <c r="K208" s="157" t="inlineStr">
        <is>
          <t>https://nachi065.github.io/AI-Security-Wiki/23_Framework_Crosswalks/06_OWASP_Top_10_Crosswalk.html</t>
        </is>
      </c>
    </row>
    <row r="209">
      <c r="A209" s="6" t="inlineStr">
        <is>
          <t>AI security</t>
        </is>
      </c>
      <c r="B209" s="6" t="inlineStr">
        <is>
          <t>OWASP LLM Top 10 (2025)</t>
        </is>
      </c>
      <c r="C209" s="6" t="inlineStr">
        <is>
          <t>Top 10 for LLM Applications 2025</t>
        </is>
      </c>
      <c r="D209" s="6" t="inlineStr">
        <is>
          <t>LLM05:2025</t>
        </is>
      </c>
      <c r="E209" s="6" t="inlineStr">
        <is>
          <t>Improper Output Handling</t>
        </is>
      </c>
      <c r="F209" s="6" t="inlineStr">
        <is>
          <t>AI-CTRL-020, AI-CTRL-034</t>
        </is>
      </c>
      <c r="G209" s="6" t="inlineStr">
        <is>
          <t>AI-R05, AI-R06, AI-R07, AI-R16, AI-R17, AI-R20, AI-R24, AI-R26</t>
        </is>
      </c>
      <c r="H209" s="6" t="inlineStr">
        <is>
          <t>Derived via mapped controls</t>
        </is>
      </c>
      <c r="I209" s="6" t="inlineStr"/>
      <c r="J209" s="6" t="inlineStr">
        <is>
          <t>Test cases under those controls: 52; Test cases that cite it: 8</t>
        </is>
      </c>
      <c r="K209" s="6" t="inlineStr">
        <is>
          <t>https://nachi065.github.io/AI-Security-Wiki/23_Framework_Crosswalks/06_OWASP_Top_10_Crosswalk.html</t>
        </is>
      </c>
    </row>
    <row r="210">
      <c r="A210" s="157" t="inlineStr">
        <is>
          <t>AI security</t>
        </is>
      </c>
      <c r="B210" s="157" t="inlineStr">
        <is>
          <t>OWASP LLM Top 10 (2025)</t>
        </is>
      </c>
      <c r="C210" s="157" t="inlineStr">
        <is>
          <t>Top 10 for LLM Applications 2025</t>
        </is>
      </c>
      <c r="D210" s="157" t="inlineStr">
        <is>
          <t>LLM06:2025</t>
        </is>
      </c>
      <c r="E210" s="157" t="inlineStr">
        <is>
          <t>Excessive Agency</t>
        </is>
      </c>
      <c r="F210" s="157" t="inlineStr">
        <is>
          <t>AI-CTRL-006, AI-CTRL-015, AI-CTRL-016, AI-CTRL-022, AI-CTRL-023, AI-CTRL-025, AI-CTRL-027, AI-CTRL-034, AI-CTRL-045</t>
        </is>
      </c>
      <c r="G210" s="157" t="inlineStr">
        <is>
          <t>AI-R05, AI-R06, AI-R07, AI-R08, AI-R11, AI-R12, AI-R14, AI-R16, AI-R17, AI-R18, AI-R19, AI-R20, AI-R21, AI-R22, AI-R24, AI-R25, AI-R28, AI-R55</t>
        </is>
      </c>
      <c r="H210" s="157" t="inlineStr">
        <is>
          <t>Derived via mapped controls</t>
        </is>
      </c>
      <c r="I210" s="157" t="inlineStr"/>
      <c r="J210" s="157" t="inlineStr">
        <is>
          <t>Test cases under those controls: 183; Test cases that cite it: 90</t>
        </is>
      </c>
      <c r="K210" s="157" t="inlineStr">
        <is>
          <t>https://nachi065.github.io/AI-Security-Wiki/23_Framework_Crosswalks/06_OWASP_Top_10_Crosswalk.html</t>
        </is>
      </c>
    </row>
    <row r="211">
      <c r="A211" s="6" t="inlineStr">
        <is>
          <t>AI security</t>
        </is>
      </c>
      <c r="B211" s="6" t="inlineStr">
        <is>
          <t>OWASP LLM Top 10 (2025)</t>
        </is>
      </c>
      <c r="C211" s="6" t="inlineStr">
        <is>
          <t>Top 10 for LLM Applications 2025</t>
        </is>
      </c>
      <c r="D211" s="6" t="inlineStr">
        <is>
          <t>LLM07:2025</t>
        </is>
      </c>
      <c r="E211" s="6" t="inlineStr">
        <is>
          <t>System Prompt Leakage</t>
        </is>
      </c>
      <c r="F211" s="6" t="inlineStr">
        <is>
          <t>AI-CTRL-005, AI-CTRL-034</t>
        </is>
      </c>
      <c r="G211" s="6" t="inlineStr">
        <is>
          <t>AI-R05, AI-R06, AI-R07, AI-R16, AI-R17, AI-R20, AI-R24</t>
        </is>
      </c>
      <c r="H211" s="6" t="inlineStr">
        <is>
          <t>Derived via mapped controls</t>
        </is>
      </c>
      <c r="I211" s="6" t="inlineStr"/>
      <c r="J211" s="6" t="inlineStr">
        <is>
          <t>Test cases under those controls: 89; Test cases that cite it: 3</t>
        </is>
      </c>
      <c r="K211" s="6" t="inlineStr">
        <is>
          <t>https://nachi065.github.io/AI-Security-Wiki/23_Framework_Crosswalks/06_OWASP_Top_10_Crosswalk.html</t>
        </is>
      </c>
    </row>
    <row r="212">
      <c r="A212" s="157" t="inlineStr">
        <is>
          <t>AI security</t>
        </is>
      </c>
      <c r="B212" s="157" t="inlineStr">
        <is>
          <t>OWASP LLM Top 10 (2025)</t>
        </is>
      </c>
      <c r="C212" s="157" t="inlineStr">
        <is>
          <t>Top 10 for LLM Applications 2025</t>
        </is>
      </c>
      <c r="D212" s="157" t="inlineStr">
        <is>
          <t>LLM08:2025</t>
        </is>
      </c>
      <c r="E212" s="157" t="inlineStr">
        <is>
          <t>Vector and Embedding Weaknesses</t>
        </is>
      </c>
      <c r="F212" s="157" t="inlineStr">
        <is>
          <t>AI-CTRL-018, AI-CTRL-019, AI-CTRL-034</t>
        </is>
      </c>
      <c r="G212" s="157" t="inlineStr">
        <is>
          <t>AI-R05, AI-R06, AI-R07, AI-R08, AI-R16, AI-R17, AI-R20</t>
        </is>
      </c>
      <c r="H212" s="157" t="inlineStr">
        <is>
          <t>Derived via mapped controls</t>
        </is>
      </c>
      <c r="I212" s="157" t="inlineStr"/>
      <c r="J212" s="157" t="inlineStr">
        <is>
          <t>Test cases under those controls: 62; Test cases that cite it: 6</t>
        </is>
      </c>
      <c r="K212" s="157" t="inlineStr">
        <is>
          <t>https://nachi065.github.io/AI-Security-Wiki/23_Framework_Crosswalks/06_OWASP_Top_10_Crosswalk.html</t>
        </is>
      </c>
    </row>
    <row r="213">
      <c r="A213" s="6" t="inlineStr">
        <is>
          <t>AI security</t>
        </is>
      </c>
      <c r="B213" s="6" t="inlineStr">
        <is>
          <t>OWASP LLM Top 10 (2025)</t>
        </is>
      </c>
      <c r="C213" s="6" t="inlineStr">
        <is>
          <t>Top 10 for LLM Applications 2025</t>
        </is>
      </c>
      <c r="D213" s="6" t="inlineStr">
        <is>
          <t>LLM09:2025</t>
        </is>
      </c>
      <c r="E213" s="6" t="inlineStr">
        <is>
          <t>Misinformation</t>
        </is>
      </c>
      <c r="F213" s="6" t="inlineStr">
        <is>
          <t>AI-CTRL-034, AI-CTRL-039</t>
        </is>
      </c>
      <c r="G213" s="6" t="inlineStr">
        <is>
          <t>AI-R05, AI-R07, AI-R12, AI-R14, AI-R16, AI-R17, AI-R20</t>
        </is>
      </c>
      <c r="H213" s="6" t="inlineStr">
        <is>
          <t>Derived via mapped controls</t>
        </is>
      </c>
      <c r="I213" s="6" t="inlineStr"/>
      <c r="J213" s="6" t="inlineStr">
        <is>
          <t>Test cases under those controls: 47; Test cases that cite it: 10</t>
        </is>
      </c>
      <c r="K213" s="6" t="inlineStr">
        <is>
          <t>https://nachi065.github.io/AI-Security-Wiki/23_Framework_Crosswalks/06_OWASP_Top_10_Crosswalk.html</t>
        </is>
      </c>
    </row>
    <row r="214">
      <c r="A214" s="157" t="inlineStr">
        <is>
          <t>AI security</t>
        </is>
      </c>
      <c r="B214" s="157" t="inlineStr">
        <is>
          <t>OWASP LLM Top 10 (2025)</t>
        </is>
      </c>
      <c r="C214" s="157" t="inlineStr">
        <is>
          <t>Top 10 for LLM Applications 2025</t>
        </is>
      </c>
      <c r="D214" s="157" t="inlineStr">
        <is>
          <t>LLM10:2025</t>
        </is>
      </c>
      <c r="E214" s="157" t="inlineStr">
        <is>
          <t>Unbounded Consumption</t>
        </is>
      </c>
      <c r="F214" s="157" t="inlineStr">
        <is>
          <t>AI-CTRL-028, AI-CTRL-034, AI-CTRL-036</t>
        </is>
      </c>
      <c r="G214" s="157" t="inlineStr">
        <is>
          <t>AI-R05, AI-R07, AI-R08, AI-R11, AI-R16, AI-R17, AI-R20</t>
        </is>
      </c>
      <c r="H214" s="157" t="inlineStr">
        <is>
          <t>Derived via mapped controls</t>
        </is>
      </c>
      <c r="I214" s="157" t="inlineStr"/>
      <c r="J214" s="157" t="inlineStr">
        <is>
          <t>Test cases under those controls: 87; Test cases that cite it: 23</t>
        </is>
      </c>
      <c r="K214" s="157" t="inlineStr">
        <is>
          <t>https://nachi065.github.io/AI-Security-Wiki/23_Framework_Crosswalks/06_OWASP_Top_10_Crosswalk.html</t>
        </is>
      </c>
    </row>
    <row r="215">
      <c r="A215" s="6" t="inlineStr">
        <is>
          <t>AI security</t>
        </is>
      </c>
      <c r="B215" s="6" t="inlineStr">
        <is>
          <t>OWASP Agentic Top 10</t>
        </is>
      </c>
      <c r="C215" s="6" t="inlineStr">
        <is>
          <t>Top 10 for Agentic Applications</t>
        </is>
      </c>
      <c r="D215" s="6" t="inlineStr">
        <is>
          <t>ASI01</t>
        </is>
      </c>
      <c r="E215" s="6" t="inlineStr">
        <is>
          <t>Agent Goal Hijack</t>
        </is>
      </c>
      <c r="F215" s="6" t="inlineStr">
        <is>
          <t>AI-CTRL-005</t>
        </is>
      </c>
      <c r="G215" s="6" t="inlineStr">
        <is>
          <t>AI-R05, AI-R06, AI-R24</t>
        </is>
      </c>
      <c r="H215" s="6" t="inlineStr">
        <is>
          <t>Derived via mapped controls</t>
        </is>
      </c>
      <c r="I215" s="6" t="inlineStr"/>
      <c r="J215" s="6" t="inlineStr">
        <is>
          <t>Test cases under those controls: 52; Test cases that cite it: 0</t>
        </is>
      </c>
      <c r="K215" s="6" t="inlineStr">
        <is>
          <t>https://nachi065.github.io/AI-Security-Wiki/23_Framework_Crosswalks/06_OWASP_Top_10_Crosswalk.html</t>
        </is>
      </c>
    </row>
    <row r="216">
      <c r="A216" s="157" t="inlineStr">
        <is>
          <t>AI security</t>
        </is>
      </c>
      <c r="B216" s="157" t="inlineStr">
        <is>
          <t>OWASP Agentic Top 10</t>
        </is>
      </c>
      <c r="C216" s="157" t="inlineStr">
        <is>
          <t>Top 10 for Agentic Applications</t>
        </is>
      </c>
      <c r="D216" s="157" t="inlineStr">
        <is>
          <t>ASI02</t>
        </is>
      </c>
      <c r="E216" s="157" t="inlineStr">
        <is>
          <t>Tool Misuse &amp; Exploitation</t>
        </is>
      </c>
      <c r="F216" s="157" t="inlineStr">
        <is>
          <t>AI-CTRL-022, AI-CTRL-024</t>
        </is>
      </c>
      <c r="G216" s="157" t="inlineStr">
        <is>
          <t>AI-R07, AI-R08, AI-R23, AI-R24</t>
        </is>
      </c>
      <c r="H216" s="157" t="inlineStr">
        <is>
          <t>Derived via mapped controls</t>
        </is>
      </c>
      <c r="I216" s="157" t="inlineStr"/>
      <c r="J216" s="157" t="inlineStr">
        <is>
          <t>Test cases under those controls: 34; Test cases that cite it: 0</t>
        </is>
      </c>
      <c r="K216" s="157" t="inlineStr">
        <is>
          <t>https://nachi065.github.io/AI-Security-Wiki/23_Framework_Crosswalks/06_OWASP_Top_10_Crosswalk.html</t>
        </is>
      </c>
    </row>
    <row r="217">
      <c r="A217" s="6" t="inlineStr">
        <is>
          <t>AI security</t>
        </is>
      </c>
      <c r="B217" s="6" t="inlineStr">
        <is>
          <t>OWASP Agentic Top 10</t>
        </is>
      </c>
      <c r="C217" s="6" t="inlineStr">
        <is>
          <t>Top 10 for Agentic Applications</t>
        </is>
      </c>
      <c r="D217" s="6" t="inlineStr">
        <is>
          <t>ASI03</t>
        </is>
      </c>
      <c r="E217" s="6" t="inlineStr">
        <is>
          <t>Identity &amp; Privilege Abuse</t>
        </is>
      </c>
      <c r="F217" s="6" t="inlineStr">
        <is>
          <t>AI-CTRL-015, AI-CTRL-016</t>
        </is>
      </c>
      <c r="G217" s="6" t="inlineStr">
        <is>
          <t>AI-R06, AI-R07, AI-R08, AI-R22, AI-R25</t>
        </is>
      </c>
      <c r="H217" s="6" t="inlineStr">
        <is>
          <t>Derived via mapped controls</t>
        </is>
      </c>
      <c r="I217" s="6" t="inlineStr"/>
      <c r="J217" s="6" t="inlineStr">
        <is>
          <t>Test cases under those controls: 93; Test cases that cite it: 0</t>
        </is>
      </c>
      <c r="K217" s="6" t="inlineStr">
        <is>
          <t>https://nachi065.github.io/AI-Security-Wiki/23_Framework_Crosswalks/06_OWASP_Top_10_Crosswalk.html</t>
        </is>
      </c>
    </row>
    <row r="218">
      <c r="A218" s="157" t="inlineStr">
        <is>
          <t>AI security</t>
        </is>
      </c>
      <c r="B218" s="157" t="inlineStr">
        <is>
          <t>OWASP Agentic Top 10</t>
        </is>
      </c>
      <c r="C218" s="157" t="inlineStr">
        <is>
          <t>Top 10 for Agentic Applications</t>
        </is>
      </c>
      <c r="D218" s="157" t="inlineStr">
        <is>
          <t>ASI04</t>
        </is>
      </c>
      <c r="E218" s="157" t="inlineStr">
        <is>
          <t>Agentic Supply Chain Vulnerabilities</t>
        </is>
      </c>
      <c r="F218" s="157" t="inlineStr">
        <is>
          <t>AI-CTRL-024</t>
        </is>
      </c>
      <c r="G218" s="157" t="inlineStr">
        <is>
          <t>AI-R07, AI-R08, AI-R23, AI-R24</t>
        </is>
      </c>
      <c r="H218" s="157" t="inlineStr">
        <is>
          <t>Derived via mapped controls</t>
        </is>
      </c>
      <c r="I218" s="157" t="inlineStr"/>
      <c r="J218" s="157" t="inlineStr">
        <is>
          <t>Test cases under those controls: 16; Test cases that cite it: 0</t>
        </is>
      </c>
      <c r="K218" s="157" t="inlineStr">
        <is>
          <t>https://nachi065.github.io/AI-Security-Wiki/23_Framework_Crosswalks/06_OWASP_Top_10_Crosswalk.html</t>
        </is>
      </c>
    </row>
    <row r="219">
      <c r="A219" s="6" t="inlineStr">
        <is>
          <t>AI security</t>
        </is>
      </c>
      <c r="B219" s="6" t="inlineStr">
        <is>
          <t>OWASP Agentic Top 10</t>
        </is>
      </c>
      <c r="C219" s="6" t="inlineStr">
        <is>
          <t>Top 10 for Agentic Applications</t>
        </is>
      </c>
      <c r="D219" s="6" t="inlineStr">
        <is>
          <t>ASI05</t>
        </is>
      </c>
      <c r="E219" s="6" t="inlineStr">
        <is>
          <t>Unexpected Code Execution (RCE)</t>
        </is>
      </c>
      <c r="F219" s="6" t="inlineStr">
        <is>
          <t>AI-CTRL-027</t>
        </is>
      </c>
      <c r="G219" s="6" t="inlineStr">
        <is>
          <t>AI-R07, AI-R21, AI-R22, AI-R25, AI-R55</t>
        </is>
      </c>
      <c r="H219" s="6" t="inlineStr">
        <is>
          <t>Derived via mapped controls</t>
        </is>
      </c>
      <c r="I219" s="6" t="inlineStr"/>
      <c r="J219" s="6" t="inlineStr">
        <is>
          <t>Test cases under those controls: 12; Test cases that cite it: 0</t>
        </is>
      </c>
      <c r="K219" s="6" t="inlineStr">
        <is>
          <t>https://nachi065.github.io/AI-Security-Wiki/23_Framework_Crosswalks/06_OWASP_Top_10_Crosswalk.html</t>
        </is>
      </c>
    </row>
    <row r="220">
      <c r="A220" s="157" t="inlineStr">
        <is>
          <t>AI security</t>
        </is>
      </c>
      <c r="B220" s="157" t="inlineStr">
        <is>
          <t>OWASP Agentic Top 10</t>
        </is>
      </c>
      <c r="C220" s="157" t="inlineStr">
        <is>
          <t>Top 10 for Agentic Applications</t>
        </is>
      </c>
      <c r="D220" s="157" t="inlineStr">
        <is>
          <t>ASI06</t>
        </is>
      </c>
      <c r="E220" s="157" t="inlineStr">
        <is>
          <t>Memory &amp; Context Poisoning</t>
        </is>
      </c>
      <c r="F220" s="157" t="inlineStr">
        <is>
          <t>AI-CTRL-026</t>
        </is>
      </c>
      <c r="G220" s="157" t="inlineStr">
        <is>
          <t>AI-R05, AI-R07, AI-R21</t>
        </is>
      </c>
      <c r="H220" s="157" t="inlineStr">
        <is>
          <t>Derived via mapped controls</t>
        </is>
      </c>
      <c r="I220" s="157" t="inlineStr"/>
      <c r="J220" s="157" t="inlineStr">
        <is>
          <t>Test cases under those controls: 9; Test cases that cite it: 0</t>
        </is>
      </c>
      <c r="K220" s="157" t="inlineStr">
        <is>
          <t>https://nachi065.github.io/AI-Security-Wiki/23_Framework_Crosswalks/06_OWASP_Top_10_Crosswalk.html</t>
        </is>
      </c>
    </row>
    <row r="221">
      <c r="A221" s="6" t="inlineStr">
        <is>
          <t>AI security</t>
        </is>
      </c>
      <c r="B221" s="6" t="inlineStr">
        <is>
          <t>OWASP Agentic Top 10</t>
        </is>
      </c>
      <c r="C221" s="6" t="inlineStr">
        <is>
          <t>Top 10 for Agentic Applications</t>
        </is>
      </c>
      <c r="D221" s="6" t="inlineStr">
        <is>
          <t>ASI07</t>
        </is>
      </c>
      <c r="E221" s="6" t="inlineStr">
        <is>
          <t>Insecure Inter-Agent Communication</t>
        </is>
      </c>
      <c r="F221" s="6" t="inlineStr">
        <is>
          <t>AI-CTRL-006, AI-CTRL-015</t>
        </is>
      </c>
      <c r="G221" s="6" t="inlineStr">
        <is>
          <t>AI-R07, AI-R22, AI-R25</t>
        </is>
      </c>
      <c r="H221" s="6" t="inlineStr">
        <is>
          <t>Derived via mapped controls</t>
        </is>
      </c>
      <c r="I221" s="6" t="inlineStr"/>
      <c r="J221" s="6" t="inlineStr">
        <is>
          <t>Test cases under those controls: 57; Test cases that cite it: 13</t>
        </is>
      </c>
      <c r="K221" s="6" t="inlineStr">
        <is>
          <t>https://nachi065.github.io/AI-Security-Wiki/23_Framework_Crosswalks/06_OWASP_Top_10_Crosswalk.html</t>
        </is>
      </c>
    </row>
    <row r="222">
      <c r="A222" s="157" t="inlineStr">
        <is>
          <t>AI security</t>
        </is>
      </c>
      <c r="B222" s="157" t="inlineStr">
        <is>
          <t>OWASP Agentic Top 10</t>
        </is>
      </c>
      <c r="C222" s="157" t="inlineStr">
        <is>
          <t>Top 10 for Agentic Applications</t>
        </is>
      </c>
      <c r="D222" s="157" t="inlineStr">
        <is>
          <t>ASI08</t>
        </is>
      </c>
      <c r="E222" s="157" t="inlineStr">
        <is>
          <t>Cascading Failures</t>
        </is>
      </c>
      <c r="F222" s="157" t="inlineStr">
        <is>
          <t>AI-CTRL-025</t>
        </is>
      </c>
      <c r="G222" s="157" t="inlineStr">
        <is>
          <t>AI-R07, AI-R11, AI-R21, AI-R25, AI-R55</t>
        </is>
      </c>
      <c r="H222" s="157" t="inlineStr">
        <is>
          <t>Derived via mapped controls</t>
        </is>
      </c>
      <c r="I222" s="157" t="inlineStr"/>
      <c r="J222" s="157" t="inlineStr">
        <is>
          <t>Test cases under those controls: 13; Test cases that cite it: 0</t>
        </is>
      </c>
      <c r="K222" s="157" t="inlineStr">
        <is>
          <t>https://nachi065.github.io/AI-Security-Wiki/23_Framework_Crosswalks/06_OWASP_Top_10_Crosswalk.html</t>
        </is>
      </c>
    </row>
    <row r="223">
      <c r="A223" s="6" t="inlineStr">
        <is>
          <t>AI security</t>
        </is>
      </c>
      <c r="B223" s="6" t="inlineStr">
        <is>
          <t>OWASP Agentic Top 10</t>
        </is>
      </c>
      <c r="C223" s="6" t="inlineStr">
        <is>
          <t>Top 10 for Agentic Applications</t>
        </is>
      </c>
      <c r="D223" s="6" t="inlineStr">
        <is>
          <t>ASI09</t>
        </is>
      </c>
      <c r="E223" s="6" t="inlineStr">
        <is>
          <t>Human-Agent Trust Exploitation</t>
        </is>
      </c>
      <c r="F223" s="6" t="inlineStr">
        <is>
          <t>AI-CTRL-023, AI-CTRL-045</t>
        </is>
      </c>
      <c r="G223" s="6" t="inlineStr">
        <is>
          <t>AI-R07, AI-R12, AI-R14, AI-R18, AI-R19, AI-R28</t>
        </is>
      </c>
      <c r="H223" s="6" t="inlineStr">
        <is>
          <t>Derived via mapped controls</t>
        </is>
      </c>
      <c r="I223" s="6" t="inlineStr"/>
      <c r="J223" s="6" t="inlineStr">
        <is>
          <t>Test cases under those controls: 10; Test cases that cite it: 0</t>
        </is>
      </c>
      <c r="K223" s="6" t="inlineStr">
        <is>
          <t>https://nachi065.github.io/AI-Security-Wiki/23_Framework_Crosswalks/06_OWASP_Top_10_Crosswalk.html</t>
        </is>
      </c>
    </row>
    <row r="224">
      <c r="A224" s="157" t="inlineStr">
        <is>
          <t>AI security</t>
        </is>
      </c>
      <c r="B224" s="157" t="inlineStr">
        <is>
          <t>OWASP Agentic Top 10</t>
        </is>
      </c>
      <c r="C224" s="157" t="inlineStr">
        <is>
          <t>Top 10 for Agentic Applications</t>
        </is>
      </c>
      <c r="D224" s="157" t="inlineStr">
        <is>
          <t>ASI10</t>
        </is>
      </c>
      <c r="E224" s="157" t="inlineStr">
        <is>
          <t>Rogue Agents</t>
        </is>
      </c>
      <c r="F224" s="157" t="inlineStr">
        <is>
          <t>AI-CTRL-006, AI-CTRL-025</t>
        </is>
      </c>
      <c r="G224" s="157" t="inlineStr">
        <is>
          <t>AI-R07, AI-R11, AI-R21, AI-R25, AI-R55</t>
        </is>
      </c>
      <c r="H224" s="157" t="inlineStr">
        <is>
          <t>Derived via mapped controls</t>
        </is>
      </c>
      <c r="I224" s="157" t="inlineStr"/>
      <c r="J224" s="157" t="inlineStr">
        <is>
          <t>Test cases under those controls: 28; Test cases that cite it: 0</t>
        </is>
      </c>
      <c r="K224" s="157" t="inlineStr">
        <is>
          <t>https://nachi065.github.io/AI-Security-Wiki/23_Framework_Crosswalks/06_OWASP_Top_10_Crosswalk.html</t>
        </is>
      </c>
    </row>
    <row r="225">
      <c r="A225" s="6" t="inlineStr">
        <is>
          <t>AI security</t>
        </is>
      </c>
      <c r="B225" s="6" t="inlineStr">
        <is>
          <t>MITRE ATLAS techniques</t>
        </is>
      </c>
      <c r="C225" s="6" t="inlineStr">
        <is>
          <t>Techniques</t>
        </is>
      </c>
      <c r="D225" s="6" t="inlineStr">
        <is>
          <t>AML.T0010</t>
        </is>
      </c>
      <c r="E225" s="6" t="inlineStr">
        <is>
          <t>AI Supply Chain Compromise</t>
        </is>
      </c>
      <c r="F225" s="6" t="inlineStr">
        <is>
          <t>AI-CTRL-014, AI-CTRL-024, AI-CTRL-030, AI-CTRL-031</t>
        </is>
      </c>
      <c r="G225" s="6" t="inlineStr">
        <is>
          <t>AI-R07, AI-R08, AI-R10, AI-R16, AI-R23, AI-R24</t>
        </is>
      </c>
      <c r="H225" s="6" t="inlineStr">
        <is>
          <t>Derived via mapped controls</t>
        </is>
      </c>
      <c r="I225" s="6" t="inlineStr"/>
      <c r="J225" s="6" t="inlineStr">
        <is>
          <t>Test cases under those controls: 80; Test cases that cite it: 37</t>
        </is>
      </c>
      <c r="K225" s="6" t="inlineStr">
        <is>
          <t>https://nachi065.github.io/AI-Security-Wiki/23_Framework_Crosswalks/07_MITRE_ATLAS_Crosswalk.html</t>
        </is>
      </c>
    </row>
    <row r="226">
      <c r="A226" s="157" t="inlineStr">
        <is>
          <t>AI security</t>
        </is>
      </c>
      <c r="B226" s="157" t="inlineStr">
        <is>
          <t>MITRE ATLAS techniques</t>
        </is>
      </c>
      <c r="C226" s="157" t="inlineStr">
        <is>
          <t>Techniques</t>
        </is>
      </c>
      <c r="D226" s="157" t="inlineStr">
        <is>
          <t>AML.T0012</t>
        </is>
      </c>
      <c r="E226" s="157" t="inlineStr">
        <is>
          <t>Valid Accounts</t>
        </is>
      </c>
      <c r="F226" s="157" t="inlineStr">
        <is>
          <t>AI-CTRL-015, AI-CTRL-016</t>
        </is>
      </c>
      <c r="G226" s="157" t="inlineStr">
        <is>
          <t>AI-R06, AI-R07, AI-R08, AI-R22, AI-R25</t>
        </is>
      </c>
      <c r="H226" s="157" t="inlineStr">
        <is>
          <t>Derived via mapped controls</t>
        </is>
      </c>
      <c r="I226" s="157" t="inlineStr"/>
      <c r="J226" s="157" t="inlineStr">
        <is>
          <t>Test cases under those controls: 93; Test cases that cite it: 42</t>
        </is>
      </c>
      <c r="K226" s="157" t="inlineStr">
        <is>
          <t>https://nachi065.github.io/AI-Security-Wiki/23_Framework_Crosswalks/07_MITRE_ATLAS_Crosswalk.html</t>
        </is>
      </c>
    </row>
    <row r="227">
      <c r="A227" s="6" t="inlineStr">
        <is>
          <t>AI security</t>
        </is>
      </c>
      <c r="B227" s="6" t="inlineStr">
        <is>
          <t>MITRE ATLAS techniques</t>
        </is>
      </c>
      <c r="C227" s="6" t="inlineStr">
        <is>
          <t>Techniques</t>
        </is>
      </c>
      <c r="D227" s="6" t="inlineStr">
        <is>
          <t>AML.T0015</t>
        </is>
      </c>
      <c r="E227" s="6" t="inlineStr">
        <is>
          <t>Evade AI Model</t>
        </is>
      </c>
      <c r="F227" s="6" t="inlineStr">
        <is>
          <t>AI-CTRL-028</t>
        </is>
      </c>
      <c r="G227" s="6" t="inlineStr">
        <is>
          <t>AI-R08</t>
        </is>
      </c>
      <c r="H227" s="6" t="inlineStr">
        <is>
          <t>Derived via mapped controls</t>
        </is>
      </c>
      <c r="I227" s="6" t="inlineStr"/>
      <c r="J227" s="6" t="inlineStr">
        <is>
          <t>Test cases under those controls: 20; Test cases that cite it: 0</t>
        </is>
      </c>
      <c r="K227" s="6" t="inlineStr">
        <is>
          <t>https://nachi065.github.io/AI-Security-Wiki/23_Framework_Crosswalks/07_MITRE_ATLAS_Crosswalk.html</t>
        </is>
      </c>
    </row>
    <row r="228">
      <c r="A228" s="157" t="inlineStr">
        <is>
          <t>AI security</t>
        </is>
      </c>
      <c r="B228" s="157" t="inlineStr">
        <is>
          <t>MITRE ATLAS techniques</t>
        </is>
      </c>
      <c r="C228" s="157" t="inlineStr">
        <is>
          <t>Techniques</t>
        </is>
      </c>
      <c r="D228" s="157" t="inlineStr">
        <is>
          <t>AML.T0018</t>
        </is>
      </c>
      <c r="E228" s="157" t="inlineStr">
        <is>
          <t>Manipulate AI Model</t>
        </is>
      </c>
      <c r="F228" s="157" t="inlineStr">
        <is>
          <t>AI-CTRL-028, AI-CTRL-030</t>
        </is>
      </c>
      <c r="G228" s="157" t="inlineStr">
        <is>
          <t>AI-R08</t>
        </is>
      </c>
      <c r="H228" s="157" t="inlineStr">
        <is>
          <t>Derived via mapped controls</t>
        </is>
      </c>
      <c r="I228" s="157" t="inlineStr"/>
      <c r="J228" s="157" t="inlineStr">
        <is>
          <t>Test cases under those controls: 35; Test cases that cite it: 0</t>
        </is>
      </c>
      <c r="K228" s="157" t="inlineStr">
        <is>
          <t>https://nachi065.github.io/AI-Security-Wiki/23_Framework_Crosswalks/07_MITRE_ATLAS_Crosswalk.html</t>
        </is>
      </c>
    </row>
    <row r="229">
      <c r="A229" s="6" t="inlineStr">
        <is>
          <t>AI security</t>
        </is>
      </c>
      <c r="B229" s="6" t="inlineStr">
        <is>
          <t>MITRE ATLAS techniques</t>
        </is>
      </c>
      <c r="C229" s="6" t="inlineStr">
        <is>
          <t>Techniques</t>
        </is>
      </c>
      <c r="D229" s="6" t="inlineStr">
        <is>
          <t>AML.T0020</t>
        </is>
      </c>
      <c r="E229" s="6" t="inlineStr">
        <is>
          <t>Training Data Poisoning</t>
        </is>
      </c>
      <c r="F229" s="6" t="inlineStr">
        <is>
          <t>AI-CTRL-029</t>
        </is>
      </c>
      <c r="G229" s="6" t="inlineStr">
        <is>
          <t>AI-R08</t>
        </is>
      </c>
      <c r="H229" s="6" t="inlineStr">
        <is>
          <t>Derived via mapped controls</t>
        </is>
      </c>
      <c r="I229" s="6" t="inlineStr"/>
      <c r="J229" s="6" t="inlineStr">
        <is>
          <t>Test cases under those controls: 18; Test cases that cite it: 15</t>
        </is>
      </c>
      <c r="K229" s="6" t="inlineStr">
        <is>
          <t>https://nachi065.github.io/AI-Security-Wiki/23_Framework_Crosswalks/07_MITRE_ATLAS_Crosswalk.html</t>
        </is>
      </c>
    </row>
    <row r="230">
      <c r="A230" s="157" t="inlineStr">
        <is>
          <t>AI security</t>
        </is>
      </c>
      <c r="B230" s="157" t="inlineStr">
        <is>
          <t>MITRE ATLAS techniques</t>
        </is>
      </c>
      <c r="C230" s="157" t="inlineStr">
        <is>
          <t>Techniques</t>
        </is>
      </c>
      <c r="D230" s="157" t="inlineStr">
        <is>
          <t>AML.T0024</t>
        </is>
      </c>
      <c r="E230" s="157" t="inlineStr">
        <is>
          <t>Exfiltration via AI Inference API</t>
        </is>
      </c>
      <c r="F230" s="157" t="inlineStr">
        <is>
          <t>AI-CTRL-028</t>
        </is>
      </c>
      <c r="G230" s="157" t="inlineStr">
        <is>
          <t>AI-R08</t>
        </is>
      </c>
      <c r="H230" s="157" t="inlineStr">
        <is>
          <t>Derived via mapped controls</t>
        </is>
      </c>
      <c r="I230" s="157" t="inlineStr"/>
      <c r="J230" s="157" t="inlineStr">
        <is>
          <t>Test cases under those controls: 20; Test cases that cite it: 7</t>
        </is>
      </c>
      <c r="K230" s="157" t="inlineStr">
        <is>
          <t>https://nachi065.github.io/AI-Security-Wiki/23_Framework_Crosswalks/07_MITRE_ATLAS_Crosswalk.html</t>
        </is>
      </c>
    </row>
    <row r="231">
      <c r="A231" s="6" t="inlineStr">
        <is>
          <t>AI security</t>
        </is>
      </c>
      <c r="B231" s="6" t="inlineStr">
        <is>
          <t>MITRE ATLAS techniques</t>
        </is>
      </c>
      <c r="C231" s="6" t="inlineStr">
        <is>
          <t>Techniques</t>
        </is>
      </c>
      <c r="D231" s="6" t="inlineStr">
        <is>
          <t>AML.T0025</t>
        </is>
      </c>
      <c r="E231" s="6" t="inlineStr">
        <is>
          <t>Exfiltration via Cyber Means</t>
        </is>
      </c>
      <c r="F231" s="6" t="inlineStr">
        <is>
          <t>AI-CTRL-017, AI-CTRL-032</t>
        </is>
      </c>
      <c r="G231" s="6" t="inlineStr">
        <is>
          <t>AI-R01, AI-R03, AI-R06, AI-R08, AI-R10, AI-R17</t>
        </is>
      </c>
      <c r="H231" s="6" t="inlineStr">
        <is>
          <t>Derived via mapped controls</t>
        </is>
      </c>
      <c r="I231" s="6" t="inlineStr"/>
      <c r="J231" s="6" t="inlineStr">
        <is>
          <t>Test cases under those controls: 64; Test cases that cite it: 4</t>
        </is>
      </c>
      <c r="K231" s="6" t="inlineStr">
        <is>
          <t>https://nachi065.github.io/AI-Security-Wiki/23_Framework_Crosswalks/07_MITRE_ATLAS_Crosswalk.html</t>
        </is>
      </c>
    </row>
    <row r="232">
      <c r="A232" s="157" t="inlineStr">
        <is>
          <t>AI security</t>
        </is>
      </c>
      <c r="B232" s="157" t="inlineStr">
        <is>
          <t>MITRE ATLAS techniques</t>
        </is>
      </c>
      <c r="C232" s="157" t="inlineStr">
        <is>
          <t>Techniques</t>
        </is>
      </c>
      <c r="D232" s="157" t="inlineStr">
        <is>
          <t>AML.T0029</t>
        </is>
      </c>
      <c r="E232" s="157" t="inlineStr">
        <is>
          <t>Denial of AI Service</t>
        </is>
      </c>
      <c r="F232" s="157" t="inlineStr">
        <is>
          <t>AI-CTRL-036, AI-CTRL-040</t>
        </is>
      </c>
      <c r="G232" s="157" t="inlineStr">
        <is>
          <t>AI-R11, AI-R13, AI-R16</t>
        </is>
      </c>
      <c r="H232" s="157" t="inlineStr">
        <is>
          <t>Derived via mapped controls</t>
        </is>
      </c>
      <c r="I232" s="157" t="inlineStr"/>
      <c r="J232" s="157" t="inlineStr">
        <is>
          <t>Test cases under those controls: 44; Test cases that cite it: 18</t>
        </is>
      </c>
      <c r="K232" s="157" t="inlineStr">
        <is>
          <t>https://nachi065.github.io/AI-Security-Wiki/23_Framework_Crosswalks/07_MITRE_ATLAS_Crosswalk.html</t>
        </is>
      </c>
    </row>
    <row r="233">
      <c r="A233" s="6" t="inlineStr">
        <is>
          <t>AI security</t>
        </is>
      </c>
      <c r="B233" s="6" t="inlineStr">
        <is>
          <t>MITRE ATLAS techniques</t>
        </is>
      </c>
      <c r="C233" s="6" t="inlineStr">
        <is>
          <t>Techniques</t>
        </is>
      </c>
      <c r="D233" s="6" t="inlineStr">
        <is>
          <t>AML.T0034</t>
        </is>
      </c>
      <c r="E233" s="6" t="inlineStr">
        <is>
          <t>Cost Harvesting</t>
        </is>
      </c>
      <c r="F233" s="6" t="inlineStr">
        <is>
          <t>AI-CTRL-025, AI-CTRL-036</t>
        </is>
      </c>
      <c r="G233" s="6" t="inlineStr">
        <is>
          <t>AI-R07, AI-R11, AI-R21, AI-R25, AI-R55</t>
        </is>
      </c>
      <c r="H233" s="6" t="inlineStr">
        <is>
          <t>Derived via mapped controls</t>
        </is>
      </c>
      <c r="I233" s="6" t="inlineStr"/>
      <c r="J233" s="6" t="inlineStr">
        <is>
          <t>Test cases under those controls: 41; Test cases that cite it: 18</t>
        </is>
      </c>
      <c r="K233" s="6" t="inlineStr">
        <is>
          <t>https://nachi065.github.io/AI-Security-Wiki/23_Framework_Crosswalks/07_MITRE_ATLAS_Crosswalk.html</t>
        </is>
      </c>
    </row>
    <row r="234">
      <c r="A234" s="157" t="inlineStr">
        <is>
          <t>AI security</t>
        </is>
      </c>
      <c r="B234" s="157" t="inlineStr">
        <is>
          <t>MITRE ATLAS techniques</t>
        </is>
      </c>
      <c r="C234" s="157" t="inlineStr">
        <is>
          <t>Techniques</t>
        </is>
      </c>
      <c r="D234" s="157" t="inlineStr">
        <is>
          <t>AML.T0043</t>
        </is>
      </c>
      <c r="E234" s="157" t="inlineStr">
        <is>
          <t>Craft Adversarial Data</t>
        </is>
      </c>
      <c r="F234" s="157" t="inlineStr">
        <is>
          <t>AI-CTRL-028</t>
        </is>
      </c>
      <c r="G234" s="157" t="inlineStr">
        <is>
          <t>AI-R08</t>
        </is>
      </c>
      <c r="H234" s="157" t="inlineStr">
        <is>
          <t>Derived via mapped controls</t>
        </is>
      </c>
      <c r="I234" s="157" t="inlineStr"/>
      <c r="J234" s="157" t="inlineStr">
        <is>
          <t>Test cases under those controls: 20; Test cases that cite it: 4</t>
        </is>
      </c>
      <c r="K234" s="157" t="inlineStr">
        <is>
          <t>https://nachi065.github.io/AI-Security-Wiki/23_Framework_Crosswalks/07_MITRE_ATLAS_Crosswalk.html</t>
        </is>
      </c>
    </row>
    <row r="235">
      <c r="A235" s="6" t="inlineStr">
        <is>
          <t>AI security</t>
        </is>
      </c>
      <c r="B235" s="6" t="inlineStr">
        <is>
          <t>MITRE ATLAS techniques</t>
        </is>
      </c>
      <c r="C235" s="6" t="inlineStr">
        <is>
          <t>Techniques</t>
        </is>
      </c>
      <c r="D235" s="6" t="inlineStr">
        <is>
          <t>AML.T0044</t>
        </is>
      </c>
      <c r="E235" s="6" t="inlineStr">
        <is>
          <t>Full AI Model Access</t>
        </is>
      </c>
      <c r="F235" s="6" t="inlineStr">
        <is>
          <t>AI-CTRL-028</t>
        </is>
      </c>
      <c r="G235" s="6" t="inlineStr">
        <is>
          <t>AI-R08</t>
        </is>
      </c>
      <c r="H235" s="6" t="inlineStr">
        <is>
          <t>Derived via mapped controls</t>
        </is>
      </c>
      <c r="I235" s="6" t="inlineStr"/>
      <c r="J235" s="6" t="inlineStr">
        <is>
          <t>Test cases under those controls: 20; Test cases that cite it: 2</t>
        </is>
      </c>
      <c r="K235" s="6" t="inlineStr">
        <is>
          <t>https://nachi065.github.io/AI-Security-Wiki/23_Framework_Crosswalks/07_MITRE_ATLAS_Crosswalk.html</t>
        </is>
      </c>
    </row>
    <row r="236">
      <c r="A236" s="157" t="inlineStr">
        <is>
          <t>AI security</t>
        </is>
      </c>
      <c r="B236" s="157" t="inlineStr">
        <is>
          <t>MITRE ATLAS techniques</t>
        </is>
      </c>
      <c r="C236" s="157" t="inlineStr">
        <is>
          <t>Techniques</t>
        </is>
      </c>
      <c r="D236" s="157" t="inlineStr">
        <is>
          <t>AML.T0046</t>
        </is>
      </c>
      <c r="E236" s="157" t="inlineStr">
        <is>
          <t>Spamming AI System with Chaff Data</t>
        </is>
      </c>
      <c r="F236" s="157" t="inlineStr">
        <is>
          <t>AI-CTRL-036</t>
        </is>
      </c>
      <c r="G236" s="157" t="inlineStr">
        <is>
          <t>AI-R11</t>
        </is>
      </c>
      <c r="H236" s="157" t="inlineStr">
        <is>
          <t>Derived via mapped controls</t>
        </is>
      </c>
      <c r="I236" s="157" t="inlineStr"/>
      <c r="J236" s="157" t="inlineStr">
        <is>
          <t>Test cases under those controls: 30; Test cases that cite it: 0</t>
        </is>
      </c>
      <c r="K236" s="157" t="inlineStr">
        <is>
          <t>https://nachi065.github.io/AI-Security-Wiki/23_Framework_Crosswalks/07_MITRE_ATLAS_Crosswalk.html</t>
        </is>
      </c>
    </row>
    <row r="237">
      <c r="A237" s="6" t="inlineStr">
        <is>
          <t>AI security</t>
        </is>
      </c>
      <c r="B237" s="6" t="inlineStr">
        <is>
          <t>MITRE ATLAS techniques</t>
        </is>
      </c>
      <c r="C237" s="6" t="inlineStr">
        <is>
          <t>Techniques</t>
        </is>
      </c>
      <c r="D237" s="6" t="inlineStr">
        <is>
          <t>AML.T0048</t>
        </is>
      </c>
      <c r="E237" s="6" t="inlineStr">
        <is>
          <t>External Harms</t>
        </is>
      </c>
      <c r="F237" s="6" t="inlineStr">
        <is>
          <t>AI-CTRL-039</t>
        </is>
      </c>
      <c r="G237" s="6" t="inlineStr">
        <is>
          <t>AI-R12, AI-R14, AI-R20</t>
        </is>
      </c>
      <c r="H237" s="6" t="inlineStr">
        <is>
          <t>Derived via mapped controls</t>
        </is>
      </c>
      <c r="I237" s="6" t="inlineStr"/>
      <c r="J237" s="6" t="inlineStr">
        <is>
          <t>Test cases under those controls: 9; Test cases that cite it: 0</t>
        </is>
      </c>
      <c r="K237" s="6" t="inlineStr">
        <is>
          <t>https://nachi065.github.io/AI-Security-Wiki/23_Framework_Crosswalks/07_MITRE_ATLAS_Crosswalk.html</t>
        </is>
      </c>
    </row>
    <row r="238">
      <c r="A238" s="157" t="inlineStr">
        <is>
          <t>AI security</t>
        </is>
      </c>
      <c r="B238" s="157" t="inlineStr">
        <is>
          <t>MITRE ATLAS techniques</t>
        </is>
      </c>
      <c r="C238" s="157" t="inlineStr">
        <is>
          <t>Techniques</t>
        </is>
      </c>
      <c r="D238" s="157" t="inlineStr">
        <is>
          <t>AML.T0049</t>
        </is>
      </c>
      <c r="E238" s="157" t="inlineStr">
        <is>
          <t>Exploit Public-Facing Application</t>
        </is>
      </c>
      <c r="F238" s="157" t="inlineStr">
        <is>
          <t>AI-CTRL-032</t>
        </is>
      </c>
      <c r="G238" s="157" t="inlineStr">
        <is>
          <t>AI-R08, AI-R10</t>
        </is>
      </c>
      <c r="H238" s="157" t="inlineStr">
        <is>
          <t>Derived via mapped controls</t>
        </is>
      </c>
      <c r="I238" s="157" t="inlineStr"/>
      <c r="J238" s="157" t="inlineStr">
        <is>
          <t>Test cases under those controls: 27; Test cases that cite it: 12</t>
        </is>
      </c>
      <c r="K238" s="157" t="inlineStr">
        <is>
          <t>https://nachi065.github.io/AI-Security-Wiki/23_Framework_Crosswalks/07_MITRE_ATLAS_Crosswalk.html</t>
        </is>
      </c>
    </row>
    <row r="239">
      <c r="A239" s="6" t="inlineStr">
        <is>
          <t>AI security</t>
        </is>
      </c>
      <c r="B239" s="6" t="inlineStr">
        <is>
          <t>MITRE ATLAS techniques</t>
        </is>
      </c>
      <c r="C239" s="6" t="inlineStr">
        <is>
          <t>Techniques</t>
        </is>
      </c>
      <c r="D239" s="6" t="inlineStr">
        <is>
          <t>AML.T0050</t>
        </is>
      </c>
      <c r="E239" s="6" t="inlineStr">
        <is>
          <t>Command and Scripting Interpreter</t>
        </is>
      </c>
      <c r="F239" s="6" t="inlineStr">
        <is>
          <t>AI-CTRL-027</t>
        </is>
      </c>
      <c r="G239" s="6" t="inlineStr">
        <is>
          <t>AI-R07, AI-R21, AI-R22, AI-R25, AI-R55</t>
        </is>
      </c>
      <c r="H239" s="6" t="inlineStr">
        <is>
          <t>Derived via mapped controls</t>
        </is>
      </c>
      <c r="I239" s="6" t="inlineStr"/>
      <c r="J239" s="6" t="inlineStr">
        <is>
          <t>Test cases under those controls: 12; Test cases that cite it: 6</t>
        </is>
      </c>
      <c r="K239" s="6" t="inlineStr">
        <is>
          <t>https://nachi065.github.io/AI-Security-Wiki/23_Framework_Crosswalks/07_MITRE_ATLAS_Crosswalk.html</t>
        </is>
      </c>
    </row>
    <row r="240">
      <c r="A240" s="157" t="inlineStr">
        <is>
          <t>AI security</t>
        </is>
      </c>
      <c r="B240" s="157" t="inlineStr">
        <is>
          <t>MITRE ATLAS techniques</t>
        </is>
      </c>
      <c r="C240" s="157" t="inlineStr">
        <is>
          <t>Techniques</t>
        </is>
      </c>
      <c r="D240" s="157" t="inlineStr">
        <is>
          <t>AML.T0051</t>
        </is>
      </c>
      <c r="E240" s="157" t="inlineStr">
        <is>
          <t>LLM Prompt Injection</t>
        </is>
      </c>
      <c r="F240" s="157" t="inlineStr">
        <is>
          <t>AI-CTRL-005, AI-CTRL-021</t>
        </is>
      </c>
      <c r="G240" s="157" t="inlineStr">
        <is>
          <t>AI-R03, AI-R05, AI-R06, AI-R24</t>
        </is>
      </c>
      <c r="H240" s="157" t="inlineStr">
        <is>
          <t>Derived via mapped controls</t>
        </is>
      </c>
      <c r="I240" s="157" t="inlineStr"/>
      <c r="J240" s="157" t="inlineStr">
        <is>
          <t>Test cases under those controls: 74; Test cases that cite it: 37</t>
        </is>
      </c>
      <c r="K240" s="157" t="inlineStr">
        <is>
          <t>https://nachi065.github.io/AI-Security-Wiki/23_Framework_Crosswalks/07_MITRE_ATLAS_Crosswalk.html</t>
        </is>
      </c>
    </row>
    <row r="241">
      <c r="A241" s="6" t="inlineStr">
        <is>
          <t>AI security</t>
        </is>
      </c>
      <c r="B241" s="6" t="inlineStr">
        <is>
          <t>MITRE ATLAS techniques</t>
        </is>
      </c>
      <c r="C241" s="6" t="inlineStr">
        <is>
          <t>Techniques</t>
        </is>
      </c>
      <c r="D241" s="6" t="inlineStr">
        <is>
          <t>AML.T0053</t>
        </is>
      </c>
      <c r="E241" s="6" t="inlineStr">
        <is>
          <t>AI Agent Tool Invocation</t>
        </is>
      </c>
      <c r="F241" s="6" t="inlineStr">
        <is>
          <t>AI-CTRL-022, AI-CTRL-023, AI-CTRL-025</t>
        </is>
      </c>
      <c r="G241" s="6" t="inlineStr">
        <is>
          <t>AI-R07, AI-R11, AI-R19, AI-R21, AI-R24, AI-R25, AI-R55</t>
        </is>
      </c>
      <c r="H241" s="6" t="inlineStr">
        <is>
          <t>Derived via mapped controls</t>
        </is>
      </c>
      <c r="I241" s="6" t="inlineStr"/>
      <c r="J241" s="6" t="inlineStr">
        <is>
          <t>Test cases under those controls: 37; Test cases that cite it: 36</t>
        </is>
      </c>
      <c r="K241" s="6" t="inlineStr">
        <is>
          <t>https://nachi065.github.io/AI-Security-Wiki/23_Framework_Crosswalks/07_MITRE_ATLAS_Crosswalk.html</t>
        </is>
      </c>
    </row>
    <row r="242">
      <c r="A242" s="157" t="inlineStr">
        <is>
          <t>AI security</t>
        </is>
      </c>
      <c r="B242" s="157" t="inlineStr">
        <is>
          <t>MITRE ATLAS techniques</t>
        </is>
      </c>
      <c r="C242" s="157" t="inlineStr">
        <is>
          <t>Techniques</t>
        </is>
      </c>
      <c r="D242" s="157" t="inlineStr">
        <is>
          <t>AML.T0054</t>
        </is>
      </c>
      <c r="E242" s="157" t="inlineStr">
        <is>
          <t>LLM Jailbreak</t>
        </is>
      </c>
      <c r="F242" s="157" t="inlineStr">
        <is>
          <t>AI-CTRL-005</t>
        </is>
      </c>
      <c r="G242" s="157" t="inlineStr">
        <is>
          <t>AI-R05, AI-R06, AI-R24</t>
        </is>
      </c>
      <c r="H242" s="157" t="inlineStr">
        <is>
          <t>Derived via mapped controls</t>
        </is>
      </c>
      <c r="I242" s="157" t="inlineStr"/>
      <c r="J242" s="157" t="inlineStr">
        <is>
          <t>Test cases under those controls: 52; Test cases that cite it: 15</t>
        </is>
      </c>
      <c r="K242" s="157" t="inlineStr">
        <is>
          <t>https://nachi065.github.io/AI-Security-Wiki/23_Framework_Crosswalks/07_MITRE_ATLAS_Crosswalk.html</t>
        </is>
      </c>
    </row>
    <row r="243">
      <c r="A243" s="6" t="inlineStr">
        <is>
          <t>AI security</t>
        </is>
      </c>
      <c r="B243" s="6" t="inlineStr">
        <is>
          <t>MITRE ATLAS techniques</t>
        </is>
      </c>
      <c r="C243" s="6" t="inlineStr">
        <is>
          <t>Techniques</t>
        </is>
      </c>
      <c r="D243" s="6" t="inlineStr">
        <is>
          <t>AML.T0055</t>
        </is>
      </c>
      <c r="E243" s="6" t="inlineStr">
        <is>
          <t>Unsecured Credentials</t>
        </is>
      </c>
      <c r="F243" s="6" t="inlineStr">
        <is>
          <t>AI-CTRL-004, AI-CTRL-016, AI-CTRL-032</t>
        </is>
      </c>
      <c r="G243" s="6" t="inlineStr">
        <is>
          <t>AI-R04, AI-R06, AI-R07, AI-R08, AI-R10, AI-R22</t>
        </is>
      </c>
      <c r="H243" s="6" t="inlineStr">
        <is>
          <t>Derived via mapped controls</t>
        </is>
      </c>
      <c r="I243" s="6" t="inlineStr"/>
      <c r="J243" s="6" t="inlineStr">
        <is>
          <t>Test cases under those controls: 96; Test cases that cite it: 11</t>
        </is>
      </c>
      <c r="K243" s="6" t="inlineStr">
        <is>
          <t>https://nachi065.github.io/AI-Security-Wiki/23_Framework_Crosswalks/07_MITRE_ATLAS_Crosswalk.html</t>
        </is>
      </c>
    </row>
    <row r="244">
      <c r="A244" s="157" t="inlineStr">
        <is>
          <t>AI security</t>
        </is>
      </c>
      <c r="B244" s="157" t="inlineStr">
        <is>
          <t>MITRE ATLAS techniques</t>
        </is>
      </c>
      <c r="C244" s="157" t="inlineStr">
        <is>
          <t>Techniques</t>
        </is>
      </c>
      <c r="D244" s="157" t="inlineStr">
        <is>
          <t>AML.T0056</t>
        </is>
      </c>
      <c r="E244" s="157" t="inlineStr">
        <is>
          <t>Extract LLM System Prompt</t>
        </is>
      </c>
      <c r="F244" s="157" t="inlineStr">
        <is>
          <t>AI-CTRL-005</t>
        </is>
      </c>
      <c r="G244" s="157" t="inlineStr">
        <is>
          <t>AI-R05, AI-R06, AI-R24</t>
        </is>
      </c>
      <c r="H244" s="157" t="inlineStr">
        <is>
          <t>Derived via mapped controls</t>
        </is>
      </c>
      <c r="I244" s="157" t="inlineStr"/>
      <c r="J244" s="157" t="inlineStr">
        <is>
          <t>Test cases under those controls: 52; Test cases that cite it: 3</t>
        </is>
      </c>
      <c r="K244" s="157" t="inlineStr">
        <is>
          <t>https://nachi065.github.io/AI-Security-Wiki/23_Framework_Crosswalks/07_MITRE_ATLAS_Crosswalk.html</t>
        </is>
      </c>
    </row>
    <row r="245">
      <c r="A245" s="6" t="inlineStr">
        <is>
          <t>AI security</t>
        </is>
      </c>
      <c r="B245" s="6" t="inlineStr">
        <is>
          <t>MITRE ATLAS techniques</t>
        </is>
      </c>
      <c r="C245" s="6" t="inlineStr">
        <is>
          <t>Techniques</t>
        </is>
      </c>
      <c r="D245" s="6" t="inlineStr">
        <is>
          <t>AML.T0057</t>
        </is>
      </c>
      <c r="E245" s="6" t="inlineStr">
        <is>
          <t>LLM Data Leakage</t>
        </is>
      </c>
      <c r="F245" s="6" t="inlineStr">
        <is>
          <t>AI-CTRL-002, AI-CTRL-003, AI-CTRL-004, AI-CTRL-010, AI-CTRL-013, AI-CTRL-017, AI-CTRL-018, AI-CTRL-020</t>
        </is>
      </c>
      <c r="G245" s="6" t="inlineStr">
        <is>
          <t>AI-R01, AI-R02, AI-R03, AI-R04, AI-R05, AI-R06, AI-R10, AI-R17, AI-R22, AI-R24, AI-R26, AI-R27, AI-R28</t>
        </is>
      </c>
      <c r="H245" s="6" t="inlineStr">
        <is>
          <t>Derived via mapped controls</t>
        </is>
      </c>
      <c r="I245" s="6" t="inlineStr"/>
      <c r="J245" s="6" t="inlineStr">
        <is>
          <t>Test cases under those controls: 163; Test cases that cite it: 75</t>
        </is>
      </c>
      <c r="K245" s="6" t="inlineStr">
        <is>
          <t>https://nachi065.github.io/AI-Security-Wiki/23_Framework_Crosswalks/07_MITRE_ATLAS_Crosswalk.html</t>
        </is>
      </c>
    </row>
    <row r="246">
      <c r="A246" s="157" t="inlineStr">
        <is>
          <t>AI security</t>
        </is>
      </c>
      <c r="B246" s="157" t="inlineStr">
        <is>
          <t>MITRE ATLAS techniques</t>
        </is>
      </c>
      <c r="C246" s="157" t="inlineStr">
        <is>
          <t>Techniques</t>
        </is>
      </c>
      <c r="D246" s="157" t="inlineStr">
        <is>
          <t>AML.T0059</t>
        </is>
      </c>
      <c r="E246" s="157" t="inlineStr">
        <is>
          <t>Erode Dataset Integrity</t>
        </is>
      </c>
      <c r="F246" s="157" t="inlineStr">
        <is>
          <t>AI-CTRL-029</t>
        </is>
      </c>
      <c r="G246" s="157" t="inlineStr">
        <is>
          <t>AI-R08</t>
        </is>
      </c>
      <c r="H246" s="157" t="inlineStr">
        <is>
          <t>Derived via mapped controls</t>
        </is>
      </c>
      <c r="I246" s="157" t="inlineStr"/>
      <c r="J246" s="157" t="inlineStr">
        <is>
          <t>Test cases under those controls: 18; Test cases that cite it: 0</t>
        </is>
      </c>
      <c r="K246" s="157" t="inlineStr">
        <is>
          <t>https://nachi065.github.io/AI-Security-Wiki/23_Framework_Crosswalks/07_MITRE_ATLAS_Crosswalk.html</t>
        </is>
      </c>
    </row>
    <row r="247">
      <c r="A247" s="6" t="inlineStr">
        <is>
          <t>AI security</t>
        </is>
      </c>
      <c r="B247" s="6" t="inlineStr">
        <is>
          <t>MITRE ATLAS techniques</t>
        </is>
      </c>
      <c r="C247" s="6" t="inlineStr">
        <is>
          <t>Techniques</t>
        </is>
      </c>
      <c r="D247" s="6" t="inlineStr">
        <is>
          <t>AML.T0060</t>
        </is>
      </c>
      <c r="E247" s="6" t="inlineStr">
        <is>
          <t>Publish Hallucinated Entities</t>
        </is>
      </c>
      <c r="F247" s="6" t="inlineStr">
        <is>
          <t>AI-CTRL-039</t>
        </is>
      </c>
      <c r="G247" s="6" t="inlineStr">
        <is>
          <t>AI-R12, AI-R14, AI-R20</t>
        </is>
      </c>
      <c r="H247" s="6" t="inlineStr">
        <is>
          <t>Derived via mapped controls</t>
        </is>
      </c>
      <c r="I247" s="6" t="inlineStr"/>
      <c r="J247" s="6" t="inlineStr">
        <is>
          <t>Test cases under those controls: 9; Test cases that cite it: 0</t>
        </is>
      </c>
      <c r="K247" s="6" t="inlineStr">
        <is>
          <t>https://nachi065.github.io/AI-Security-Wiki/23_Framework_Crosswalks/07_MITRE_ATLAS_Crosswalk.html</t>
        </is>
      </c>
    </row>
    <row r="248">
      <c r="A248" s="157" t="inlineStr">
        <is>
          <t>AI security</t>
        </is>
      </c>
      <c r="B248" s="157" t="inlineStr">
        <is>
          <t>MITRE ATLAS techniques</t>
        </is>
      </c>
      <c r="C248" s="157" t="inlineStr">
        <is>
          <t>Techniques</t>
        </is>
      </c>
      <c r="D248" s="157" t="inlineStr">
        <is>
          <t>AML.T0062</t>
        </is>
      </c>
      <c r="E248" s="157" t="inlineStr">
        <is>
          <t>Discover LLM Hallucinations</t>
        </is>
      </c>
      <c r="F248" s="157" t="inlineStr">
        <is>
          <t>AI-CTRL-039</t>
        </is>
      </c>
      <c r="G248" s="157" t="inlineStr">
        <is>
          <t>AI-R12, AI-R14, AI-R20</t>
        </is>
      </c>
      <c r="H248" s="157" t="inlineStr">
        <is>
          <t>Derived via mapped controls</t>
        </is>
      </c>
      <c r="I248" s="157" t="inlineStr"/>
      <c r="J248" s="157" t="inlineStr">
        <is>
          <t>Test cases under those controls: 9; Test cases that cite it: 0</t>
        </is>
      </c>
      <c r="K248" s="157" t="inlineStr">
        <is>
          <t>https://nachi065.github.io/AI-Security-Wiki/23_Framework_Crosswalks/07_MITRE_ATLAS_Crosswalk.html</t>
        </is>
      </c>
    </row>
    <row r="249">
      <c r="A249" s="6" t="inlineStr">
        <is>
          <t>AI security</t>
        </is>
      </c>
      <c r="B249" s="6" t="inlineStr">
        <is>
          <t>MITRE ATLAS techniques</t>
        </is>
      </c>
      <c r="C249" s="6" t="inlineStr">
        <is>
          <t>Techniques</t>
        </is>
      </c>
      <c r="D249" s="6" t="inlineStr">
        <is>
          <t>AML.T0064</t>
        </is>
      </c>
      <c r="E249" s="6" t="inlineStr">
        <is>
          <t>Gather RAG-Indexed Targets</t>
        </is>
      </c>
      <c r="F249" s="6" t="inlineStr">
        <is>
          <t>AI-CTRL-018</t>
        </is>
      </c>
      <c r="G249" s="6" t="inlineStr">
        <is>
          <t>AI-R06</t>
        </is>
      </c>
      <c r="H249" s="6" t="inlineStr">
        <is>
          <t>Derived via mapped controls</t>
        </is>
      </c>
      <c r="I249" s="6" t="inlineStr"/>
      <c r="J249" s="6" t="inlineStr">
        <is>
          <t>Test cases under those controls: 10; Test cases that cite it: 0</t>
        </is>
      </c>
      <c r="K249" s="6" t="inlineStr">
        <is>
          <t>https://nachi065.github.io/AI-Security-Wiki/23_Framework_Crosswalks/07_MITRE_ATLAS_Crosswalk.html</t>
        </is>
      </c>
    </row>
    <row r="250">
      <c r="A250" s="157" t="inlineStr">
        <is>
          <t>AI security</t>
        </is>
      </c>
      <c r="B250" s="157" t="inlineStr">
        <is>
          <t>MITRE ATLAS techniques</t>
        </is>
      </c>
      <c r="C250" s="157" t="inlineStr">
        <is>
          <t>Techniques</t>
        </is>
      </c>
      <c r="D250" s="157" t="inlineStr">
        <is>
          <t>AML.T0066</t>
        </is>
      </c>
      <c r="E250" s="157" t="inlineStr">
        <is>
          <t>Retrieval Content Crafting</t>
        </is>
      </c>
      <c r="F250" s="157" t="inlineStr">
        <is>
          <t>AI-CTRL-019</t>
        </is>
      </c>
      <c r="G250" s="157" t="inlineStr">
        <is>
          <t>AI-R05, AI-R08, AI-R17</t>
        </is>
      </c>
      <c r="H250" s="157" t="inlineStr">
        <is>
          <t>Derived via mapped controls</t>
        </is>
      </c>
      <c r="I250" s="157" t="inlineStr"/>
      <c r="J250" s="157" t="inlineStr">
        <is>
          <t>Test cases under those controls: 15; Test cases that cite it: 0</t>
        </is>
      </c>
      <c r="K250" s="157" t="inlineStr">
        <is>
          <t>https://nachi065.github.io/AI-Security-Wiki/23_Framework_Crosswalks/07_MITRE_ATLAS_Crosswalk.html</t>
        </is>
      </c>
    </row>
    <row r="251">
      <c r="A251" s="6" t="inlineStr">
        <is>
          <t>AI security</t>
        </is>
      </c>
      <c r="B251" s="6" t="inlineStr">
        <is>
          <t>MITRE ATLAS techniques</t>
        </is>
      </c>
      <c r="C251" s="6" t="inlineStr">
        <is>
          <t>Techniques</t>
        </is>
      </c>
      <c r="D251" s="6" t="inlineStr">
        <is>
          <t>AML.T0067</t>
        </is>
      </c>
      <c r="E251" s="6" t="inlineStr">
        <is>
          <t>LLM Trusted Output Components Manipulation</t>
        </is>
      </c>
      <c r="F251" s="6" t="inlineStr">
        <is>
          <t>AI-CTRL-020</t>
        </is>
      </c>
      <c r="G251" s="6" t="inlineStr">
        <is>
          <t>AI-R05, AI-R06, AI-R24, AI-R26</t>
        </is>
      </c>
      <c r="H251" s="6" t="inlineStr">
        <is>
          <t>Derived via mapped controls</t>
        </is>
      </c>
      <c r="I251" s="6" t="inlineStr"/>
      <c r="J251" s="6" t="inlineStr">
        <is>
          <t>Test cases under those controls: 14; Test cases that cite it: 0</t>
        </is>
      </c>
      <c r="K251" s="6" t="inlineStr">
        <is>
          <t>https://nachi065.github.io/AI-Security-Wiki/23_Framework_Crosswalks/07_MITRE_ATLAS_Crosswalk.html</t>
        </is>
      </c>
    </row>
    <row r="252">
      <c r="A252" s="157" t="inlineStr">
        <is>
          <t>AI security</t>
        </is>
      </c>
      <c r="B252" s="157" t="inlineStr">
        <is>
          <t>MITRE ATLAS techniques</t>
        </is>
      </c>
      <c r="C252" s="157" t="inlineStr">
        <is>
          <t>Techniques</t>
        </is>
      </c>
      <c r="D252" s="157" t="inlineStr">
        <is>
          <t>AML.T0068</t>
        </is>
      </c>
      <c r="E252" s="157" t="inlineStr">
        <is>
          <t>LLM Prompt Obfuscation</t>
        </is>
      </c>
      <c r="F252" s="157" t="inlineStr">
        <is>
          <t>AI-CTRL-005</t>
        </is>
      </c>
      <c r="G252" s="157" t="inlineStr">
        <is>
          <t>AI-R05, AI-R06, AI-R24</t>
        </is>
      </c>
      <c r="H252" s="157" t="inlineStr">
        <is>
          <t>Derived via mapped controls</t>
        </is>
      </c>
      <c r="I252" s="157" t="inlineStr"/>
      <c r="J252" s="157" t="inlineStr">
        <is>
          <t>Test cases under those controls: 52; Test cases that cite it: 0</t>
        </is>
      </c>
      <c r="K252" s="157" t="inlineStr">
        <is>
          <t>https://nachi065.github.io/AI-Security-Wiki/23_Framework_Crosswalks/07_MITRE_ATLAS_Crosswalk.html</t>
        </is>
      </c>
    </row>
    <row r="253">
      <c r="A253" s="6" t="inlineStr">
        <is>
          <t>AI security</t>
        </is>
      </c>
      <c r="B253" s="6" t="inlineStr">
        <is>
          <t>MITRE ATLAS techniques</t>
        </is>
      </c>
      <c r="C253" s="6" t="inlineStr">
        <is>
          <t>Techniques</t>
        </is>
      </c>
      <c r="D253" s="6" t="inlineStr">
        <is>
          <t>AML.T0070</t>
        </is>
      </c>
      <c r="E253" s="6" t="inlineStr">
        <is>
          <t>RAG Poisoning</t>
        </is>
      </c>
      <c r="F253" s="6" t="inlineStr">
        <is>
          <t>AI-CTRL-019</t>
        </is>
      </c>
      <c r="G253" s="6" t="inlineStr">
        <is>
          <t>AI-R05, AI-R08, AI-R17</t>
        </is>
      </c>
      <c r="H253" s="6" t="inlineStr">
        <is>
          <t>Derived via mapped controls</t>
        </is>
      </c>
      <c r="I253" s="6" t="inlineStr"/>
      <c r="J253" s="6" t="inlineStr">
        <is>
          <t>Test cases under those controls: 15; Test cases that cite it: 0</t>
        </is>
      </c>
      <c r="K253" s="6" t="inlineStr">
        <is>
          <t>https://nachi065.github.io/AI-Security-Wiki/23_Framework_Crosswalks/07_MITRE_ATLAS_Crosswalk.html</t>
        </is>
      </c>
    </row>
    <row r="254">
      <c r="A254" s="157" t="inlineStr">
        <is>
          <t>AI security</t>
        </is>
      </c>
      <c r="B254" s="157" t="inlineStr">
        <is>
          <t>MITRE ATLAS techniques</t>
        </is>
      </c>
      <c r="C254" s="157" t="inlineStr">
        <is>
          <t>Techniques</t>
        </is>
      </c>
      <c r="D254" s="157" t="inlineStr">
        <is>
          <t>AML.T0071</t>
        </is>
      </c>
      <c r="E254" s="157" t="inlineStr">
        <is>
          <t>False RAG Entry Injection</t>
        </is>
      </c>
      <c r="F254" s="157" t="inlineStr">
        <is>
          <t>AI-CTRL-019</t>
        </is>
      </c>
      <c r="G254" s="157" t="inlineStr">
        <is>
          <t>AI-R05, AI-R08, AI-R17</t>
        </is>
      </c>
      <c r="H254" s="157" t="inlineStr">
        <is>
          <t>Derived via mapped controls</t>
        </is>
      </c>
      <c r="I254" s="157" t="inlineStr"/>
      <c r="J254" s="157" t="inlineStr">
        <is>
          <t>Test cases under those controls: 15; Test cases that cite it: 0</t>
        </is>
      </c>
      <c r="K254" s="157" t="inlineStr">
        <is>
          <t>https://nachi065.github.io/AI-Security-Wiki/23_Framework_Crosswalks/07_MITRE_ATLAS_Crosswalk.html</t>
        </is>
      </c>
    </row>
    <row r="255">
      <c r="A255" s="6" t="inlineStr">
        <is>
          <t>AI security</t>
        </is>
      </c>
      <c r="B255" s="6" t="inlineStr">
        <is>
          <t>MITRE ATLAS techniques</t>
        </is>
      </c>
      <c r="C255" s="6" t="inlineStr">
        <is>
          <t>Techniques</t>
        </is>
      </c>
      <c r="D255" s="6" t="inlineStr">
        <is>
          <t>AML.T0073</t>
        </is>
      </c>
      <c r="E255" s="6" t="inlineStr">
        <is>
          <t>Impersonation</t>
        </is>
      </c>
      <c r="F255" s="6" t="inlineStr">
        <is>
          <t>AI-CTRL-015</t>
        </is>
      </c>
      <c r="G255" s="6" t="inlineStr">
        <is>
          <t>AI-R07, AI-R22, AI-R25</t>
        </is>
      </c>
      <c r="H255" s="6" t="inlineStr">
        <is>
          <t>Derived via mapped controls</t>
        </is>
      </c>
      <c r="I255" s="6" t="inlineStr"/>
      <c r="J255" s="6" t="inlineStr">
        <is>
          <t>Test cases under those controls: 45; Test cases that cite it: 1</t>
        </is>
      </c>
      <c r="K255" s="6" t="inlineStr">
        <is>
          <t>https://nachi065.github.io/AI-Security-Wiki/23_Framework_Crosswalks/07_MITRE_ATLAS_Crosswalk.html</t>
        </is>
      </c>
    </row>
    <row r="256">
      <c r="A256" s="157" t="inlineStr">
        <is>
          <t>AI security</t>
        </is>
      </c>
      <c r="B256" s="157" t="inlineStr">
        <is>
          <t>MITRE ATLAS techniques</t>
        </is>
      </c>
      <c r="C256" s="157" t="inlineStr">
        <is>
          <t>Techniques</t>
        </is>
      </c>
      <c r="D256" s="157" t="inlineStr">
        <is>
          <t>AML.T0077</t>
        </is>
      </c>
      <c r="E256" s="157" t="inlineStr">
        <is>
          <t>LLM Response Rendering</t>
        </is>
      </c>
      <c r="F256" s="157" t="inlineStr">
        <is>
          <t>AI-CTRL-020</t>
        </is>
      </c>
      <c r="G256" s="157" t="inlineStr">
        <is>
          <t>AI-R05, AI-R06, AI-R24, AI-R26</t>
        </is>
      </c>
      <c r="H256" s="157" t="inlineStr">
        <is>
          <t>Derived via mapped controls</t>
        </is>
      </c>
      <c r="I256" s="157" t="inlineStr"/>
      <c r="J256" s="157" t="inlineStr">
        <is>
          <t>Test cases under those controls: 14; Test cases that cite it: 0</t>
        </is>
      </c>
      <c r="K256" s="157" t="inlineStr">
        <is>
          <t>https://nachi065.github.io/AI-Security-Wiki/23_Framework_Crosswalks/07_MITRE_ATLAS_Crosswalk.html</t>
        </is>
      </c>
    </row>
    <row r="257">
      <c r="A257" s="6" t="inlineStr">
        <is>
          <t>AI security</t>
        </is>
      </c>
      <c r="B257" s="6" t="inlineStr">
        <is>
          <t>MITRE ATLAS techniques</t>
        </is>
      </c>
      <c r="C257" s="6" t="inlineStr">
        <is>
          <t>Techniques</t>
        </is>
      </c>
      <c r="D257" s="6" t="inlineStr">
        <is>
          <t>AML.T0080</t>
        </is>
      </c>
      <c r="E257" s="6" t="inlineStr">
        <is>
          <t>AI Agent Context Poisoning</t>
        </is>
      </c>
      <c r="F257" s="6" t="inlineStr">
        <is>
          <t>AI-CTRL-026</t>
        </is>
      </c>
      <c r="G257" s="6" t="inlineStr">
        <is>
          <t>AI-R05, AI-R07, AI-R21</t>
        </is>
      </c>
      <c r="H257" s="6" t="inlineStr">
        <is>
          <t>Derived via mapped controls</t>
        </is>
      </c>
      <c r="I257" s="6" t="inlineStr"/>
      <c r="J257" s="6" t="inlineStr">
        <is>
          <t>Test cases under those controls: 9; Test cases that cite it: 0</t>
        </is>
      </c>
      <c r="K257" s="6" t="inlineStr">
        <is>
          <t>https://nachi065.github.io/AI-Security-Wiki/23_Framework_Crosswalks/07_MITRE_ATLAS_Crosswalk.html</t>
        </is>
      </c>
    </row>
    <row r="258">
      <c r="A258" s="157" t="inlineStr">
        <is>
          <t>AI security</t>
        </is>
      </c>
      <c r="B258" s="157" t="inlineStr">
        <is>
          <t>MITRE ATLAS techniques</t>
        </is>
      </c>
      <c r="C258" s="157" t="inlineStr">
        <is>
          <t>Techniques</t>
        </is>
      </c>
      <c r="D258" s="157" t="inlineStr">
        <is>
          <t>AML.T0081</t>
        </is>
      </c>
      <c r="E258" s="157" t="inlineStr">
        <is>
          <t>Modify AI Agent Configuration</t>
        </is>
      </c>
      <c r="F258" s="157" t="inlineStr">
        <is>
          <t>AI-CTRL-006</t>
        </is>
      </c>
      <c r="G258" s="157" t="inlineStr">
        <is>
          <t>AI-R07, AI-R25</t>
        </is>
      </c>
      <c r="H258" s="157" t="inlineStr">
        <is>
          <t>Derived via mapped controls</t>
        </is>
      </c>
      <c r="I258" s="157" t="inlineStr"/>
      <c r="J258" s="157" t="inlineStr">
        <is>
          <t>Test cases under those controls: 15; Test cases that cite it: 1</t>
        </is>
      </c>
      <c r="K258" s="157" t="inlineStr">
        <is>
          <t>https://nachi065.github.io/AI-Security-Wiki/23_Framework_Crosswalks/07_MITRE_ATLAS_Crosswalk.html</t>
        </is>
      </c>
    </row>
    <row r="259">
      <c r="A259" s="6" t="inlineStr">
        <is>
          <t>AI security</t>
        </is>
      </c>
      <c r="B259" s="6" t="inlineStr">
        <is>
          <t>MITRE ATLAS techniques</t>
        </is>
      </c>
      <c r="C259" s="6" t="inlineStr">
        <is>
          <t>Techniques</t>
        </is>
      </c>
      <c r="D259" s="6" t="inlineStr">
        <is>
          <t>AML.T0082</t>
        </is>
      </c>
      <c r="E259" s="6" t="inlineStr">
        <is>
          <t>RAG Credential Harvesting</t>
        </is>
      </c>
      <c r="F259" s="6" t="inlineStr">
        <is>
          <t>AI-CTRL-018</t>
        </is>
      </c>
      <c r="G259" s="6" t="inlineStr">
        <is>
          <t>AI-R06</t>
        </is>
      </c>
      <c r="H259" s="6" t="inlineStr">
        <is>
          <t>Derived via mapped controls</t>
        </is>
      </c>
      <c r="I259" s="6" t="inlineStr"/>
      <c r="J259" s="6" t="inlineStr">
        <is>
          <t>Test cases under those controls: 10; Test cases that cite it: 0</t>
        </is>
      </c>
      <c r="K259" s="6" t="inlineStr">
        <is>
          <t>https://nachi065.github.io/AI-Security-Wiki/23_Framework_Crosswalks/07_MITRE_ATLAS_Crosswalk.html</t>
        </is>
      </c>
    </row>
    <row r="260">
      <c r="A260" s="157" t="inlineStr">
        <is>
          <t>AI security</t>
        </is>
      </c>
      <c r="B260" s="157" t="inlineStr">
        <is>
          <t>MITRE ATLAS techniques</t>
        </is>
      </c>
      <c r="C260" s="157" t="inlineStr">
        <is>
          <t>Techniques</t>
        </is>
      </c>
      <c r="D260" s="157" t="inlineStr">
        <is>
          <t>AML.T0083</t>
        </is>
      </c>
      <c r="E260" s="157" t="inlineStr">
        <is>
          <t>Credentials from AI Agent Configuration</t>
        </is>
      </c>
      <c r="F260" s="157" t="inlineStr">
        <is>
          <t>AI-CTRL-016</t>
        </is>
      </c>
      <c r="G260" s="157" t="inlineStr">
        <is>
          <t>AI-R06, AI-R07, AI-R08, AI-R22</t>
        </is>
      </c>
      <c r="H260" s="157" t="inlineStr">
        <is>
          <t>Derived via mapped controls</t>
        </is>
      </c>
      <c r="I260" s="157" t="inlineStr"/>
      <c r="J260" s="157" t="inlineStr">
        <is>
          <t>Test cases under those controls: 53; Test cases that cite it: 0</t>
        </is>
      </c>
      <c r="K260" s="157" t="inlineStr">
        <is>
          <t>https://nachi065.github.io/AI-Security-Wiki/23_Framework_Crosswalks/07_MITRE_ATLAS_Crosswalk.html</t>
        </is>
      </c>
    </row>
    <row r="261">
      <c r="A261" s="6" t="inlineStr">
        <is>
          <t>AI security</t>
        </is>
      </c>
      <c r="B261" s="6" t="inlineStr">
        <is>
          <t>MITRE ATLAS techniques</t>
        </is>
      </c>
      <c r="C261" s="6" t="inlineStr">
        <is>
          <t>Techniques</t>
        </is>
      </c>
      <c r="D261" s="6" t="inlineStr">
        <is>
          <t>AML.T0085</t>
        </is>
      </c>
      <c r="E261" s="6" t="inlineStr">
        <is>
          <t>Data from AI Services</t>
        </is>
      </c>
      <c r="F261" s="6" t="inlineStr">
        <is>
          <t>AI-CTRL-017, AI-CTRL-018</t>
        </is>
      </c>
      <c r="G261" s="6" t="inlineStr">
        <is>
          <t>AI-R01, AI-R03, AI-R06, AI-R17</t>
        </is>
      </c>
      <c r="H261" s="6" t="inlineStr">
        <is>
          <t>Derived via mapped controls</t>
        </is>
      </c>
      <c r="I261" s="6" t="inlineStr"/>
      <c r="J261" s="6" t="inlineStr">
        <is>
          <t>Test cases under those controls: 48; Test cases that cite it: 0</t>
        </is>
      </c>
      <c r="K261" s="6" t="inlineStr">
        <is>
          <t>https://nachi065.github.io/AI-Security-Wiki/23_Framework_Crosswalks/07_MITRE_ATLAS_Crosswalk.html</t>
        </is>
      </c>
    </row>
    <row r="262">
      <c r="A262" s="157" t="inlineStr">
        <is>
          <t>AI security</t>
        </is>
      </c>
      <c r="B262" s="157" t="inlineStr">
        <is>
          <t>MITRE ATLAS techniques</t>
        </is>
      </c>
      <c r="C262" s="157" t="inlineStr">
        <is>
          <t>Techniques</t>
        </is>
      </c>
      <c r="D262" s="157" t="inlineStr">
        <is>
          <t>AML.T0086</t>
        </is>
      </c>
      <c r="E262" s="157" t="inlineStr">
        <is>
          <t>Exfiltration via AI Agent Tool Invocation</t>
        </is>
      </c>
      <c r="F262" s="157" t="inlineStr">
        <is>
          <t>AI-CTRL-022</t>
        </is>
      </c>
      <c r="G262" s="157" t="inlineStr">
        <is>
          <t>AI-R07, AI-R24</t>
        </is>
      </c>
      <c r="H262" s="157" t="inlineStr">
        <is>
          <t>Derived via mapped controls</t>
        </is>
      </c>
      <c r="I262" s="157" t="inlineStr"/>
      <c r="J262" s="157" t="inlineStr">
        <is>
          <t>Test cases under those controls: 19; Test cases that cite it: 0</t>
        </is>
      </c>
      <c r="K262" s="157" t="inlineStr">
        <is>
          <t>https://nachi065.github.io/AI-Security-Wiki/23_Framework_Crosswalks/07_MITRE_ATLAS_Crosswalk.html</t>
        </is>
      </c>
    </row>
    <row r="263">
      <c r="A263" s="6" t="inlineStr">
        <is>
          <t>AI security</t>
        </is>
      </c>
      <c r="B263" s="6" t="inlineStr">
        <is>
          <t>MITRE ATLAS techniques</t>
        </is>
      </c>
      <c r="C263" s="6" t="inlineStr">
        <is>
          <t>Techniques</t>
        </is>
      </c>
      <c r="D263" s="6" t="inlineStr">
        <is>
          <t>AML.T0088</t>
        </is>
      </c>
      <c r="E263" s="6" t="inlineStr">
        <is>
          <t>Generate Deepfakes</t>
        </is>
      </c>
      <c r="F263" s="6" t="inlineStr">
        <is>
          <t>AI-CTRL-021</t>
        </is>
      </c>
      <c r="G263" s="6" t="inlineStr">
        <is>
          <t>AI-R03, AI-R05</t>
        </is>
      </c>
      <c r="H263" s="6" t="inlineStr">
        <is>
          <t>Derived via mapped controls</t>
        </is>
      </c>
      <c r="I263" s="6" t="inlineStr"/>
      <c r="J263" s="6" t="inlineStr">
        <is>
          <t>Test cases under those controls: 28; Test cases that cite it: 0</t>
        </is>
      </c>
      <c r="K263" s="6" t="inlineStr">
        <is>
          <t>https://nachi065.github.io/AI-Security-Wiki/23_Framework_Crosswalks/07_MITRE_ATLAS_Crosswalk.html</t>
        </is>
      </c>
    </row>
    <row r="264">
      <c r="A264" s="157" t="inlineStr">
        <is>
          <t>AI security</t>
        </is>
      </c>
      <c r="B264" s="157" t="inlineStr">
        <is>
          <t>MITRE ATLAS techniques</t>
        </is>
      </c>
      <c r="C264" s="157" t="inlineStr">
        <is>
          <t>Techniques</t>
        </is>
      </c>
      <c r="D264" s="157" t="inlineStr">
        <is>
          <t>AML.T0091</t>
        </is>
      </c>
      <c r="E264" s="157" t="inlineStr">
        <is>
          <t>Use Alternate Authentication Material</t>
        </is>
      </c>
      <c r="F264" s="157" t="inlineStr">
        <is>
          <t>AI-CTRL-015</t>
        </is>
      </c>
      <c r="G264" s="157" t="inlineStr">
        <is>
          <t>AI-R07, AI-R22, AI-R25</t>
        </is>
      </c>
      <c r="H264" s="157" t="inlineStr">
        <is>
          <t>Derived via mapped controls</t>
        </is>
      </c>
      <c r="I264" s="157" t="inlineStr"/>
      <c r="J264" s="157" t="inlineStr">
        <is>
          <t>Test cases under those controls: 45; Test cases that cite it: 0</t>
        </is>
      </c>
      <c r="K264" s="157" t="inlineStr">
        <is>
          <t>https://nachi065.github.io/AI-Security-Wiki/23_Framework_Crosswalks/07_MITRE_ATLAS_Crosswalk.html</t>
        </is>
      </c>
    </row>
    <row r="265">
      <c r="A265" s="6" t="inlineStr">
        <is>
          <t>AI security</t>
        </is>
      </c>
      <c r="B265" s="6" t="inlineStr">
        <is>
          <t>MITRE ATLAS techniques</t>
        </is>
      </c>
      <c r="C265" s="6" t="inlineStr">
        <is>
          <t>Techniques</t>
        </is>
      </c>
      <c r="D265" s="6" t="inlineStr">
        <is>
          <t>AML.T0092</t>
        </is>
      </c>
      <c r="E265" s="6" t="inlineStr">
        <is>
          <t>Manipulate User LLM Chat History</t>
        </is>
      </c>
      <c r="F265" s="6" t="inlineStr">
        <is>
          <t>AI-CTRL-026</t>
        </is>
      </c>
      <c r="G265" s="6" t="inlineStr">
        <is>
          <t>AI-R05, AI-R07, AI-R21</t>
        </is>
      </c>
      <c r="H265" s="6" t="inlineStr">
        <is>
          <t>Derived via mapped controls</t>
        </is>
      </c>
      <c r="I265" s="6" t="inlineStr"/>
      <c r="J265" s="6" t="inlineStr">
        <is>
          <t>Test cases under those controls: 9; Test cases that cite it: 0</t>
        </is>
      </c>
      <c r="K265" s="6" t="inlineStr">
        <is>
          <t>https://nachi065.github.io/AI-Security-Wiki/23_Framework_Crosswalks/07_MITRE_ATLAS_Crosswalk.html</t>
        </is>
      </c>
    </row>
    <row r="266">
      <c r="A266" s="157" t="inlineStr">
        <is>
          <t>AI security</t>
        </is>
      </c>
      <c r="B266" s="157" t="inlineStr">
        <is>
          <t>MITRE ATLAS techniques</t>
        </is>
      </c>
      <c r="C266" s="157" t="inlineStr">
        <is>
          <t>Techniques</t>
        </is>
      </c>
      <c r="D266" s="157" t="inlineStr">
        <is>
          <t>AML.T0093</t>
        </is>
      </c>
      <c r="E266" s="157" t="inlineStr">
        <is>
          <t>Prompt Infiltration via Public-Facing Application</t>
        </is>
      </c>
      <c r="F266" s="157" t="inlineStr">
        <is>
          <t>AI-CTRL-005</t>
        </is>
      </c>
      <c r="G266" s="157" t="inlineStr">
        <is>
          <t>AI-R05, AI-R06, AI-R24</t>
        </is>
      </c>
      <c r="H266" s="157" t="inlineStr">
        <is>
          <t>Derived via mapped controls</t>
        </is>
      </c>
      <c r="I266" s="157" t="inlineStr"/>
      <c r="J266" s="157" t="inlineStr">
        <is>
          <t>Test cases under those controls: 52; Test cases that cite it: 0</t>
        </is>
      </c>
      <c r="K266" s="157" t="inlineStr">
        <is>
          <t>https://nachi065.github.io/AI-Security-Wiki/23_Framework_Crosswalks/07_MITRE_ATLAS_Crosswalk.html</t>
        </is>
      </c>
    </row>
    <row r="267">
      <c r="A267" s="6" t="inlineStr">
        <is>
          <t>AI security</t>
        </is>
      </c>
      <c r="B267" s="6" t="inlineStr">
        <is>
          <t>MITRE ATLAS techniques</t>
        </is>
      </c>
      <c r="C267" s="6" t="inlineStr">
        <is>
          <t>Techniques</t>
        </is>
      </c>
      <c r="D267" s="6" t="inlineStr">
        <is>
          <t>AML.T0094</t>
        </is>
      </c>
      <c r="E267" s="6" t="inlineStr">
        <is>
          <t>Delay Execution of LLM Instructions</t>
        </is>
      </c>
      <c r="F267" s="6" t="inlineStr">
        <is>
          <t>AI-CTRL-026</t>
        </is>
      </c>
      <c r="G267" s="6" t="inlineStr">
        <is>
          <t>AI-R05, AI-R07, AI-R21</t>
        </is>
      </c>
      <c r="H267" s="6" t="inlineStr">
        <is>
          <t>Derived via mapped controls</t>
        </is>
      </c>
      <c r="I267" s="6" t="inlineStr"/>
      <c r="J267" s="6" t="inlineStr">
        <is>
          <t>Test cases under those controls: 9; Test cases that cite it: 0</t>
        </is>
      </c>
      <c r="K267" s="6" t="inlineStr">
        <is>
          <t>https://nachi065.github.io/AI-Security-Wiki/23_Framework_Crosswalks/07_MITRE_ATLAS_Crosswalk.html</t>
        </is>
      </c>
    </row>
    <row r="268">
      <c r="A268" s="157" t="inlineStr">
        <is>
          <t>AI security</t>
        </is>
      </c>
      <c r="B268" s="157" t="inlineStr">
        <is>
          <t>MITRE ATLAS techniques</t>
        </is>
      </c>
      <c r="C268" s="157" t="inlineStr">
        <is>
          <t>Techniques</t>
        </is>
      </c>
      <c r="D268" s="157" t="inlineStr">
        <is>
          <t>AML.T0098</t>
        </is>
      </c>
      <c r="E268" s="157" t="inlineStr">
        <is>
          <t>AI Agent Tool Credential Harvesting</t>
        </is>
      </c>
      <c r="F268" s="157" t="inlineStr">
        <is>
          <t>AI-CTRL-016</t>
        </is>
      </c>
      <c r="G268" s="157" t="inlineStr">
        <is>
          <t>AI-R06, AI-R07, AI-R08, AI-R22</t>
        </is>
      </c>
      <c r="H268" s="157" t="inlineStr">
        <is>
          <t>Derived via mapped controls</t>
        </is>
      </c>
      <c r="I268" s="157" t="inlineStr"/>
      <c r="J268" s="157" t="inlineStr">
        <is>
          <t>Test cases under those controls: 53; Test cases that cite it: 0</t>
        </is>
      </c>
      <c r="K268" s="157" t="inlineStr">
        <is>
          <t>https://nachi065.github.io/AI-Security-Wiki/23_Framework_Crosswalks/07_MITRE_ATLAS_Crosswalk.html</t>
        </is>
      </c>
    </row>
    <row r="269">
      <c r="A269" s="6" t="inlineStr">
        <is>
          <t>AI security</t>
        </is>
      </c>
      <c r="B269" s="6" t="inlineStr">
        <is>
          <t>MITRE ATLAS techniques</t>
        </is>
      </c>
      <c r="C269" s="6" t="inlineStr">
        <is>
          <t>Techniques</t>
        </is>
      </c>
      <c r="D269" s="6" t="inlineStr">
        <is>
          <t>AML.T0099</t>
        </is>
      </c>
      <c r="E269" s="6" t="inlineStr">
        <is>
          <t>AI Agent Tool Data Poisoning</t>
        </is>
      </c>
      <c r="F269" s="6" t="inlineStr">
        <is>
          <t>AI-CTRL-024</t>
        </is>
      </c>
      <c r="G269" s="6" t="inlineStr">
        <is>
          <t>AI-R07, AI-R08, AI-R23, AI-R24</t>
        </is>
      </c>
      <c r="H269" s="6" t="inlineStr">
        <is>
          <t>Derived via mapped controls</t>
        </is>
      </c>
      <c r="I269" s="6" t="inlineStr"/>
      <c r="J269" s="6" t="inlineStr">
        <is>
          <t>Test cases under those controls: 16; Test cases that cite it: 0</t>
        </is>
      </c>
      <c r="K269" s="6" t="inlineStr">
        <is>
          <t>https://nachi065.github.io/AI-Security-Wiki/23_Framework_Crosswalks/07_MITRE_ATLAS_Crosswalk.html</t>
        </is>
      </c>
    </row>
    <row r="270">
      <c r="A270" s="157" t="inlineStr">
        <is>
          <t>AI security</t>
        </is>
      </c>
      <c r="B270" s="157" t="inlineStr">
        <is>
          <t>MITRE ATLAS techniques</t>
        </is>
      </c>
      <c r="C270" s="157" t="inlineStr">
        <is>
          <t>Techniques</t>
        </is>
      </c>
      <c r="D270" s="157" t="inlineStr">
        <is>
          <t>AML.T0101</t>
        </is>
      </c>
      <c r="E270" s="157" t="inlineStr">
        <is>
          <t>Data Destruction via AI Agent Tool Invocation</t>
        </is>
      </c>
      <c r="F270" s="157" t="inlineStr">
        <is>
          <t>AI-CTRL-022, AI-CTRL-023</t>
        </is>
      </c>
      <c r="G270" s="157" t="inlineStr">
        <is>
          <t>AI-R07, AI-R19, AI-R24</t>
        </is>
      </c>
      <c r="H270" s="157" t="inlineStr">
        <is>
          <t>Derived via mapped controls</t>
        </is>
      </c>
      <c r="I270" s="157" t="inlineStr"/>
      <c r="J270" s="157" t="inlineStr">
        <is>
          <t>Test cases under those controls: 26; Test cases that cite it: 0</t>
        </is>
      </c>
      <c r="K270" s="157" t="inlineStr">
        <is>
          <t>https://nachi065.github.io/AI-Security-Wiki/23_Framework_Crosswalks/07_MITRE_ATLAS_Crosswalk.html</t>
        </is>
      </c>
    </row>
    <row r="271">
      <c r="A271" s="6" t="inlineStr">
        <is>
          <t>AI security</t>
        </is>
      </c>
      <c r="B271" s="6" t="inlineStr">
        <is>
          <t>MITRE ATLAS techniques</t>
        </is>
      </c>
      <c r="C271" s="6" t="inlineStr">
        <is>
          <t>Techniques</t>
        </is>
      </c>
      <c r="D271" s="6" t="inlineStr">
        <is>
          <t>AML.T0102</t>
        </is>
      </c>
      <c r="E271" s="6" t="inlineStr">
        <is>
          <t>Generate Malicious Commands</t>
        </is>
      </c>
      <c r="F271" s="6" t="inlineStr">
        <is>
          <t>AI-CTRL-027</t>
        </is>
      </c>
      <c r="G271" s="6" t="inlineStr">
        <is>
          <t>AI-R07, AI-R21, AI-R22, AI-R25, AI-R55</t>
        </is>
      </c>
      <c r="H271" s="6" t="inlineStr">
        <is>
          <t>Derived via mapped controls</t>
        </is>
      </c>
      <c r="I271" s="6" t="inlineStr"/>
      <c r="J271" s="6" t="inlineStr">
        <is>
          <t>Test cases under those controls: 12; Test cases that cite it: 0</t>
        </is>
      </c>
      <c r="K271" s="6" t="inlineStr">
        <is>
          <t>https://nachi065.github.io/AI-Security-Wiki/23_Framework_Crosswalks/07_MITRE_ATLAS_Crosswalk.html</t>
        </is>
      </c>
    </row>
    <row r="272">
      <c r="A272" s="157" t="inlineStr">
        <is>
          <t>AI security</t>
        </is>
      </c>
      <c r="B272" s="157" t="inlineStr">
        <is>
          <t>MITRE ATLAS techniques</t>
        </is>
      </c>
      <c r="C272" s="157" t="inlineStr">
        <is>
          <t>Techniques</t>
        </is>
      </c>
      <c r="D272" s="157" t="inlineStr">
        <is>
          <t>AML.T0105</t>
        </is>
      </c>
      <c r="E272" s="157" t="inlineStr">
        <is>
          <t>Escape to Host</t>
        </is>
      </c>
      <c r="F272" s="157" t="inlineStr">
        <is>
          <t>AI-CTRL-027</t>
        </is>
      </c>
      <c r="G272" s="157" t="inlineStr">
        <is>
          <t>AI-R07, AI-R21, AI-R22, AI-R25, AI-R55</t>
        </is>
      </c>
      <c r="H272" s="157" t="inlineStr">
        <is>
          <t>Derived via mapped controls</t>
        </is>
      </c>
      <c r="I272" s="157" t="inlineStr"/>
      <c r="J272" s="157" t="inlineStr">
        <is>
          <t>Test cases under those controls: 12; Test cases that cite it: 0</t>
        </is>
      </c>
      <c r="K272" s="157" t="inlineStr">
        <is>
          <t>https://nachi065.github.io/AI-Security-Wiki/23_Framework_Crosswalks/07_MITRE_ATLAS_Crosswalk.html</t>
        </is>
      </c>
    </row>
    <row r="273">
      <c r="A273" s="6" t="inlineStr">
        <is>
          <t>AI security</t>
        </is>
      </c>
      <c r="B273" s="6" t="inlineStr">
        <is>
          <t>MITRE ATLAS techniques</t>
        </is>
      </c>
      <c r="C273" s="6" t="inlineStr">
        <is>
          <t>Techniques</t>
        </is>
      </c>
      <c r="D273" s="6" t="inlineStr">
        <is>
          <t>AML.T0109</t>
        </is>
      </c>
      <c r="E273" s="6" t="inlineStr">
        <is>
          <t>AI Supply Chain Rug Pull</t>
        </is>
      </c>
      <c r="F273" s="6" t="inlineStr">
        <is>
          <t>AI-CTRL-014, AI-CTRL-024, AI-CTRL-031</t>
        </is>
      </c>
      <c r="G273" s="6" t="inlineStr">
        <is>
          <t>AI-R07, AI-R08, AI-R10, AI-R16, AI-R23, AI-R24</t>
        </is>
      </c>
      <c r="H273" s="6" t="inlineStr">
        <is>
          <t>Derived via mapped controls</t>
        </is>
      </c>
      <c r="I273" s="6" t="inlineStr"/>
      <c r="J273" s="6" t="inlineStr">
        <is>
          <t>Test cases under those controls: 64; Test cases that cite it: 0</t>
        </is>
      </c>
      <c r="K273" s="6" t="inlineStr">
        <is>
          <t>https://nachi065.github.io/AI-Security-Wiki/23_Framework_Crosswalks/07_MITRE_ATLAS_Crosswalk.html</t>
        </is>
      </c>
    </row>
    <row r="274">
      <c r="A274" s="157" t="inlineStr">
        <is>
          <t>AI security</t>
        </is>
      </c>
      <c r="B274" s="157" t="inlineStr">
        <is>
          <t>MITRE ATLAS techniques</t>
        </is>
      </c>
      <c r="C274" s="157" t="inlineStr">
        <is>
          <t>Techniques</t>
        </is>
      </c>
      <c r="D274" s="157" t="inlineStr">
        <is>
          <t>AML.T0110</t>
        </is>
      </c>
      <c r="E274" s="157" t="inlineStr">
        <is>
          <t>AI Agent Tool Poisoning</t>
        </is>
      </c>
      <c r="F274" s="157" t="inlineStr">
        <is>
          <t>AI-CTRL-024</t>
        </is>
      </c>
      <c r="G274" s="157" t="inlineStr">
        <is>
          <t>AI-R07, AI-R08, AI-R23, AI-R24</t>
        </is>
      </c>
      <c r="H274" s="157" t="inlineStr">
        <is>
          <t>Derived via mapped controls</t>
        </is>
      </c>
      <c r="I274" s="157" t="inlineStr"/>
      <c r="J274" s="157" t="inlineStr">
        <is>
          <t>Test cases under those controls: 16; Test cases that cite it: 0</t>
        </is>
      </c>
      <c r="K274" s="157" t="inlineStr">
        <is>
          <t>https://nachi065.github.io/AI-Security-Wiki/23_Framework_Crosswalks/07_MITRE_ATLAS_Crosswalk.html</t>
        </is>
      </c>
    </row>
    <row r="275">
      <c r="A275" s="6" t="inlineStr">
        <is>
          <t>AI security</t>
        </is>
      </c>
      <c r="B275" s="6" t="inlineStr">
        <is>
          <t>MITRE ATLAS techniques</t>
        </is>
      </c>
      <c r="C275" s="6" t="inlineStr">
        <is>
          <t>Techniques</t>
        </is>
      </c>
      <c r="D275" s="6" t="inlineStr">
        <is>
          <t>AML.T0111</t>
        </is>
      </c>
      <c r="E275" s="6" t="inlineStr">
        <is>
          <t>AI Supply Chain Reputation Inflation</t>
        </is>
      </c>
      <c r="F275" s="6" t="inlineStr">
        <is>
          <t>AI-CTRL-031</t>
        </is>
      </c>
      <c r="G275" s="6" t="inlineStr">
        <is>
          <t>AI-R08, AI-R16, AI-R23</t>
        </is>
      </c>
      <c r="H275" s="6" t="inlineStr">
        <is>
          <t>Derived via mapped controls</t>
        </is>
      </c>
      <c r="I275" s="6" t="inlineStr"/>
      <c r="J275" s="6" t="inlineStr">
        <is>
          <t>Test cases under those controls: 25; Test cases that cite it: 0</t>
        </is>
      </c>
      <c r="K275" s="6" t="inlineStr">
        <is>
          <t>https://nachi065.github.io/AI-Security-Wiki/23_Framework_Crosswalks/07_MITRE_ATLAS_Crosswalk.html</t>
        </is>
      </c>
    </row>
    <row r="276">
      <c r="A276" s="157" t="inlineStr">
        <is>
          <t>AI security</t>
        </is>
      </c>
      <c r="B276" s="157" t="inlineStr">
        <is>
          <t>MITRE ATLAS techniques</t>
        </is>
      </c>
      <c r="C276" s="157" t="inlineStr">
        <is>
          <t>Techniques</t>
        </is>
      </c>
      <c r="D276" s="157" t="inlineStr">
        <is>
          <t>AML.T0115</t>
        </is>
      </c>
      <c r="E276" s="157" t="inlineStr">
        <is>
          <t>Publish Poisoned AI Artifacts</t>
        </is>
      </c>
      <c r="F276" s="157" t="inlineStr">
        <is>
          <t>AI-CTRL-031</t>
        </is>
      </c>
      <c r="G276" s="157" t="inlineStr">
        <is>
          <t>AI-R08, AI-R16, AI-R23</t>
        </is>
      </c>
      <c r="H276" s="157" t="inlineStr">
        <is>
          <t>Derived via mapped controls</t>
        </is>
      </c>
      <c r="I276" s="157" t="inlineStr"/>
      <c r="J276" s="157" t="inlineStr">
        <is>
          <t>Test cases under those controls: 25; Test cases that cite it: 0</t>
        </is>
      </c>
      <c r="K276" s="157" t="inlineStr">
        <is>
          <t>https://nachi065.github.io/AI-Security-Wiki/23_Framework_Crosswalks/07_MITRE_ATLAS_Crosswalk.html</t>
        </is>
      </c>
    </row>
    <row r="277">
      <c r="A277" s="6" t="inlineStr">
        <is>
          <t>AI security</t>
        </is>
      </c>
      <c r="B277" s="6" t="inlineStr">
        <is>
          <t>MITRE ATLAS techniques</t>
        </is>
      </c>
      <c r="C277" s="6" t="inlineStr">
        <is>
          <t>Techniques</t>
        </is>
      </c>
      <c r="D277" s="6" t="inlineStr">
        <is>
          <t>AML.T0119</t>
        </is>
      </c>
      <c r="E277" s="6" t="inlineStr">
        <is>
          <t>Exploit Automated Artifact Processing Pipeline</t>
        </is>
      </c>
      <c r="F277" s="6" t="inlineStr">
        <is>
          <t>AI-CTRL-030</t>
        </is>
      </c>
      <c r="G277" s="6" t="inlineStr">
        <is>
          <t>AI-R08</t>
        </is>
      </c>
      <c r="H277" s="6" t="inlineStr">
        <is>
          <t>Derived via mapped controls</t>
        </is>
      </c>
      <c r="I277" s="6" t="inlineStr"/>
      <c r="J277" s="6" t="inlineStr">
        <is>
          <t>Test cases under those controls: 16; Test cases that cite it: 0</t>
        </is>
      </c>
      <c r="K277" s="6" t="inlineStr">
        <is>
          <t>https://nachi065.github.io/AI-Security-Wiki/23_Framework_Crosswalks/07_MITRE_ATLAS_Crosswalk.html</t>
        </is>
      </c>
    </row>
    <row r="278">
      <c r="A278" s="157" t="inlineStr">
        <is>
          <t>AI security</t>
        </is>
      </c>
      <c r="B278" s="157" t="inlineStr">
        <is>
          <t>MITRE ATLAS techniques</t>
        </is>
      </c>
      <c r="C278" s="157" t="inlineStr">
        <is>
          <t>Techniques</t>
        </is>
      </c>
      <c r="D278" s="157" t="inlineStr">
        <is>
          <t>AML.T0129</t>
        </is>
      </c>
      <c r="E278" s="157" t="inlineStr">
        <is>
          <t>Triggers in Multimodal Inputs</t>
        </is>
      </c>
      <c r="F278" s="157" t="inlineStr">
        <is>
          <t>AI-CTRL-021</t>
        </is>
      </c>
      <c r="G278" s="157" t="inlineStr">
        <is>
          <t>AI-R03, AI-R05</t>
        </is>
      </c>
      <c r="H278" s="157" t="inlineStr">
        <is>
          <t>Derived via mapped controls</t>
        </is>
      </c>
      <c r="I278" s="157" t="inlineStr"/>
      <c r="J278" s="157" t="inlineStr">
        <is>
          <t>Test cases under those controls: 28; Test cases that cite it: 0</t>
        </is>
      </c>
      <c r="K278" s="157" t="inlineStr">
        <is>
          <t>https://nachi065.github.io/AI-Security-Wiki/23_Framework_Crosswalks/07_MITRE_ATLAS_Crosswalk.html</t>
        </is>
      </c>
    </row>
    <row r="279">
      <c r="A279" s="6" t="inlineStr">
        <is>
          <t>AI security</t>
        </is>
      </c>
      <c r="B279" s="6" t="inlineStr">
        <is>
          <t>MITRE ATLAS techniques</t>
        </is>
      </c>
      <c r="C279" s="6" t="inlineStr">
        <is>
          <t>Techniques</t>
        </is>
      </c>
      <c r="D279" s="6" t="inlineStr">
        <is>
          <t>AML.T0132</t>
        </is>
      </c>
      <c r="E279" s="6" t="inlineStr">
        <is>
          <t>Misconfigured or Publicly Exposed AI Services</t>
        </is>
      </c>
      <c r="F279" s="6" t="inlineStr">
        <is>
          <t>AI-CTRL-032</t>
        </is>
      </c>
      <c r="G279" s="6" t="inlineStr">
        <is>
          <t>AI-R08, AI-R10</t>
        </is>
      </c>
      <c r="H279" s="6" t="inlineStr">
        <is>
          <t>Derived via mapped controls</t>
        </is>
      </c>
      <c r="I279" s="6" t="inlineStr"/>
      <c r="J279" s="6" t="inlineStr">
        <is>
          <t>Test cases under those controls: 27; Test cases that cite it: 0</t>
        </is>
      </c>
      <c r="K279" s="6" t="inlineStr">
        <is>
          <t>https://nachi065.github.io/AI-Security-Wiki/23_Framework_Crosswalks/07_MITRE_ATLAS_Crosswalk.html</t>
        </is>
      </c>
    </row>
    <row r="280">
      <c r="A280" s="157" t="inlineStr">
        <is>
          <t>AI security</t>
        </is>
      </c>
      <c r="B280" s="157" t="inlineStr">
        <is>
          <t>MITRE ATLAS mitigations</t>
        </is>
      </c>
      <c r="C280" s="157" t="inlineStr">
        <is>
          <t>Mitigations</t>
        </is>
      </c>
      <c r="D280" s="157" t="inlineStr">
        <is>
          <t>AML.M0003</t>
        </is>
      </c>
      <c r="E280" s="157" t="inlineStr">
        <is>
          <t>Predictive AI Model Hardening</t>
        </is>
      </c>
      <c r="F280" s="157" t="inlineStr">
        <is>
          <t>AI-CTRL-028</t>
        </is>
      </c>
      <c r="G280" s="157" t="inlineStr">
        <is>
          <t>AI-R08</t>
        </is>
      </c>
      <c r="H280" s="157" t="inlineStr">
        <is>
          <t>Derived via mapped controls</t>
        </is>
      </c>
      <c r="I280" s="157" t="inlineStr"/>
      <c r="J280" s="157" t="inlineStr">
        <is>
          <t>Test cases under those controls: 20</t>
        </is>
      </c>
      <c r="K280" s="157" t="inlineStr">
        <is>
          <t>https://nachi065.github.io/AI-Security-Wiki/23_Framework_Crosswalks/07_MITRE_ATLAS_Crosswalk.html</t>
        </is>
      </c>
    </row>
    <row r="281">
      <c r="A281" s="6" t="inlineStr">
        <is>
          <t>AI security</t>
        </is>
      </c>
      <c r="B281" s="6" t="inlineStr">
        <is>
          <t>MITRE ATLAS mitigations</t>
        </is>
      </c>
      <c r="C281" s="6" t="inlineStr">
        <is>
          <t>Mitigations</t>
        </is>
      </c>
      <c r="D281" s="6" t="inlineStr">
        <is>
          <t>AML.M0004</t>
        </is>
      </c>
      <c r="E281" s="6" t="inlineStr">
        <is>
          <t>Limit AI Service Query Volume and Rate</t>
        </is>
      </c>
      <c r="F281" s="6" t="inlineStr">
        <is>
          <t>AI-CTRL-028, AI-CTRL-036</t>
        </is>
      </c>
      <c r="G281" s="6" t="inlineStr">
        <is>
          <t>AI-R08, AI-R11</t>
        </is>
      </c>
      <c r="H281" s="6" t="inlineStr">
        <is>
          <t>Derived via mapped controls</t>
        </is>
      </c>
      <c r="I281" s="6" t="inlineStr"/>
      <c r="J281" s="6" t="inlineStr">
        <is>
          <t>Test cases under those controls: 49</t>
        </is>
      </c>
      <c r="K281" s="6" t="inlineStr">
        <is>
          <t>https://nachi065.github.io/AI-Security-Wiki/23_Framework_Crosswalks/07_MITRE_ATLAS_Crosswalk.html</t>
        </is>
      </c>
    </row>
    <row r="282">
      <c r="A282" s="157" t="inlineStr">
        <is>
          <t>AI security</t>
        </is>
      </c>
      <c r="B282" s="157" t="inlineStr">
        <is>
          <t>MITRE ATLAS mitigations</t>
        </is>
      </c>
      <c r="C282" s="157" t="inlineStr">
        <is>
          <t>Mitigations</t>
        </is>
      </c>
      <c r="D282" s="157" t="inlineStr">
        <is>
          <t>AML.M0005</t>
        </is>
      </c>
      <c r="E282" s="157" t="inlineStr">
        <is>
          <t>Control Access to AI Models and Data at Rest</t>
        </is>
      </c>
      <c r="F282" s="157" t="inlineStr">
        <is>
          <t>AI-CTRL-017, AI-CTRL-028, AI-CTRL-032</t>
        </is>
      </c>
      <c r="G282" s="157" t="inlineStr">
        <is>
          <t>AI-R01, AI-R03, AI-R06, AI-R08, AI-R10, AI-R17</t>
        </is>
      </c>
      <c r="H282" s="157" t="inlineStr">
        <is>
          <t>Derived via mapped controls</t>
        </is>
      </c>
      <c r="I282" s="157" t="inlineStr"/>
      <c r="J282" s="157" t="inlineStr">
        <is>
          <t>Test cases under those controls: 82</t>
        </is>
      </c>
      <c r="K282" s="157" t="inlineStr">
        <is>
          <t>https://nachi065.github.io/AI-Security-Wiki/23_Framework_Crosswalks/07_MITRE_ATLAS_Crosswalk.html</t>
        </is>
      </c>
    </row>
    <row r="283">
      <c r="A283" s="6" t="inlineStr">
        <is>
          <t>AI security</t>
        </is>
      </c>
      <c r="B283" s="6" t="inlineStr">
        <is>
          <t>MITRE ATLAS mitigations</t>
        </is>
      </c>
      <c r="C283" s="6" t="inlineStr">
        <is>
          <t>Mitigations</t>
        </is>
      </c>
      <c r="D283" s="6" t="inlineStr">
        <is>
          <t>AML.M0007</t>
        </is>
      </c>
      <c r="E283" s="6" t="inlineStr">
        <is>
          <t>Sanitize Training Data</t>
        </is>
      </c>
      <c r="F283" s="6" t="inlineStr">
        <is>
          <t>AI-CTRL-029</t>
        </is>
      </c>
      <c r="G283" s="6" t="inlineStr">
        <is>
          <t>AI-R08</t>
        </is>
      </c>
      <c r="H283" s="6" t="inlineStr">
        <is>
          <t>Derived via mapped controls</t>
        </is>
      </c>
      <c r="I283" s="6" t="inlineStr"/>
      <c r="J283" s="6" t="inlineStr">
        <is>
          <t>Test cases under those controls: 18</t>
        </is>
      </c>
      <c r="K283" s="6" t="inlineStr">
        <is>
          <t>https://nachi065.github.io/AI-Security-Wiki/23_Framework_Crosswalks/07_MITRE_ATLAS_Crosswalk.html</t>
        </is>
      </c>
    </row>
    <row r="284">
      <c r="A284" s="157" t="inlineStr">
        <is>
          <t>AI security</t>
        </is>
      </c>
      <c r="B284" s="157" t="inlineStr">
        <is>
          <t>MITRE ATLAS mitigations</t>
        </is>
      </c>
      <c r="C284" s="157" t="inlineStr">
        <is>
          <t>Mitigations</t>
        </is>
      </c>
      <c r="D284" s="157" t="inlineStr">
        <is>
          <t>AML.M0008</t>
        </is>
      </c>
      <c r="E284" s="157" t="inlineStr">
        <is>
          <t>Validate AI Model</t>
        </is>
      </c>
      <c r="F284" s="157" t="inlineStr">
        <is>
          <t>AI-CTRL-028</t>
        </is>
      </c>
      <c r="G284" s="157" t="inlineStr">
        <is>
          <t>AI-R08</t>
        </is>
      </c>
      <c r="H284" s="157" t="inlineStr">
        <is>
          <t>Derived via mapped controls</t>
        </is>
      </c>
      <c r="I284" s="157" t="inlineStr"/>
      <c r="J284" s="157" t="inlineStr">
        <is>
          <t>Test cases under those controls: 20</t>
        </is>
      </c>
      <c r="K284" s="157" t="inlineStr">
        <is>
          <t>https://nachi065.github.io/AI-Security-Wiki/23_Framework_Crosswalks/07_MITRE_ATLAS_Crosswalk.html</t>
        </is>
      </c>
    </row>
    <row r="285">
      <c r="A285" s="6" t="inlineStr">
        <is>
          <t>AI security</t>
        </is>
      </c>
      <c r="B285" s="6" t="inlineStr">
        <is>
          <t>MITRE ATLAS mitigations</t>
        </is>
      </c>
      <c r="C285" s="6" t="inlineStr">
        <is>
          <t>Mitigations</t>
        </is>
      </c>
      <c r="D285" s="6" t="inlineStr">
        <is>
          <t>AML.M0011</t>
        </is>
      </c>
      <c r="E285" s="6" t="inlineStr">
        <is>
          <t>Restrict Library Loading</t>
        </is>
      </c>
      <c r="F285" s="6" t="inlineStr">
        <is>
          <t>AI-CTRL-027</t>
        </is>
      </c>
      <c r="G285" s="6" t="inlineStr">
        <is>
          <t>AI-R07, AI-R21, AI-R22, AI-R25, AI-R55</t>
        </is>
      </c>
      <c r="H285" s="6" t="inlineStr">
        <is>
          <t>Derived via mapped controls</t>
        </is>
      </c>
      <c r="I285" s="6" t="inlineStr"/>
      <c r="J285" s="6" t="inlineStr">
        <is>
          <t>Test cases under those controls: 12</t>
        </is>
      </c>
      <c r="K285" s="6" t="inlineStr">
        <is>
          <t>https://nachi065.github.io/AI-Security-Wiki/23_Framework_Crosswalks/07_MITRE_ATLAS_Crosswalk.html</t>
        </is>
      </c>
    </row>
    <row r="286">
      <c r="A286" s="157" t="inlineStr">
        <is>
          <t>AI security</t>
        </is>
      </c>
      <c r="B286" s="157" t="inlineStr">
        <is>
          <t>MITRE ATLAS mitigations</t>
        </is>
      </c>
      <c r="C286" s="157" t="inlineStr">
        <is>
          <t>Mitigations</t>
        </is>
      </c>
      <c r="D286" s="157" t="inlineStr">
        <is>
          <t>AML.M0012</t>
        </is>
      </c>
      <c r="E286" s="157" t="inlineStr">
        <is>
          <t>Encrypt Sensitive Information</t>
        </is>
      </c>
      <c r="F286" s="157" t="inlineStr">
        <is>
          <t>AI-CTRL-017, AI-CTRL-032</t>
        </is>
      </c>
      <c r="G286" s="157" t="inlineStr">
        <is>
          <t>AI-R01, AI-R03, AI-R06, AI-R08, AI-R10, AI-R17</t>
        </is>
      </c>
      <c r="H286" s="157" t="inlineStr">
        <is>
          <t>Derived via mapped controls</t>
        </is>
      </c>
      <c r="I286" s="157" t="inlineStr"/>
      <c r="J286" s="157" t="inlineStr">
        <is>
          <t>Test cases under those controls: 64</t>
        </is>
      </c>
      <c r="K286" s="157" t="inlineStr">
        <is>
          <t>https://nachi065.github.io/AI-Security-Wiki/23_Framework_Crosswalks/07_MITRE_ATLAS_Crosswalk.html</t>
        </is>
      </c>
    </row>
    <row r="287">
      <c r="A287" s="6" t="inlineStr">
        <is>
          <t>AI security</t>
        </is>
      </c>
      <c r="B287" s="6" t="inlineStr">
        <is>
          <t>MITRE ATLAS mitigations</t>
        </is>
      </c>
      <c r="C287" s="6" t="inlineStr">
        <is>
          <t>Mitigations</t>
        </is>
      </c>
      <c r="D287" s="6" t="inlineStr">
        <is>
          <t>AML.M0013</t>
        </is>
      </c>
      <c r="E287" s="6" t="inlineStr">
        <is>
          <t>Code Signing</t>
        </is>
      </c>
      <c r="F287" s="6" t="inlineStr">
        <is>
          <t>AI-CTRL-030</t>
        </is>
      </c>
      <c r="G287" s="6" t="inlineStr">
        <is>
          <t>AI-R08</t>
        </is>
      </c>
      <c r="H287" s="6" t="inlineStr">
        <is>
          <t>Derived via mapped controls</t>
        </is>
      </c>
      <c r="I287" s="6" t="inlineStr"/>
      <c r="J287" s="6" t="inlineStr">
        <is>
          <t>Test cases under those controls: 16</t>
        </is>
      </c>
      <c r="K287" s="6" t="inlineStr">
        <is>
          <t>https://nachi065.github.io/AI-Security-Wiki/23_Framework_Crosswalks/07_MITRE_ATLAS_Crosswalk.html</t>
        </is>
      </c>
    </row>
    <row r="288">
      <c r="A288" s="157" t="inlineStr">
        <is>
          <t>AI security</t>
        </is>
      </c>
      <c r="B288" s="157" t="inlineStr">
        <is>
          <t>MITRE ATLAS mitigations</t>
        </is>
      </c>
      <c r="C288" s="157" t="inlineStr">
        <is>
          <t>Mitigations</t>
        </is>
      </c>
      <c r="D288" s="157" t="inlineStr">
        <is>
          <t>AML.M0014</t>
        </is>
      </c>
      <c r="E288" s="157" t="inlineStr">
        <is>
          <t>Verify AI Artifacts</t>
        </is>
      </c>
      <c r="F288" s="157" t="inlineStr">
        <is>
          <t>AI-CTRL-024, AI-CTRL-030, AI-CTRL-031</t>
        </is>
      </c>
      <c r="G288" s="157" t="inlineStr">
        <is>
          <t>AI-R07, AI-R08, AI-R16, AI-R23, AI-R24</t>
        </is>
      </c>
      <c r="H288" s="157" t="inlineStr">
        <is>
          <t>Derived via mapped controls</t>
        </is>
      </c>
      <c r="I288" s="157" t="inlineStr"/>
      <c r="J288" s="157" t="inlineStr">
        <is>
          <t>Test cases under those controls: 56</t>
        </is>
      </c>
      <c r="K288" s="157" t="inlineStr">
        <is>
          <t>https://nachi065.github.io/AI-Security-Wiki/23_Framework_Crosswalks/07_MITRE_ATLAS_Crosswalk.html</t>
        </is>
      </c>
    </row>
    <row r="289">
      <c r="A289" s="6" t="inlineStr">
        <is>
          <t>AI security</t>
        </is>
      </c>
      <c r="B289" s="6" t="inlineStr">
        <is>
          <t>MITRE ATLAS mitigations</t>
        </is>
      </c>
      <c r="C289" s="6" t="inlineStr">
        <is>
          <t>Mitigations</t>
        </is>
      </c>
      <c r="D289" s="6" t="inlineStr">
        <is>
          <t>AML.M0015</t>
        </is>
      </c>
      <c r="E289" s="6" t="inlineStr">
        <is>
          <t>Predictive AI Adversarial Input Detection</t>
        </is>
      </c>
      <c r="F289" s="6" t="inlineStr">
        <is>
          <t>AI-CTRL-028</t>
        </is>
      </c>
      <c r="G289" s="6" t="inlineStr">
        <is>
          <t>AI-R08</t>
        </is>
      </c>
      <c r="H289" s="6" t="inlineStr">
        <is>
          <t>Derived via mapped controls</t>
        </is>
      </c>
      <c r="I289" s="6" t="inlineStr"/>
      <c r="J289" s="6" t="inlineStr">
        <is>
          <t>Test cases under those controls: 20</t>
        </is>
      </c>
      <c r="K289" s="6" t="inlineStr">
        <is>
          <t>https://nachi065.github.io/AI-Security-Wiki/23_Framework_Crosswalks/07_MITRE_ATLAS_Crosswalk.html</t>
        </is>
      </c>
    </row>
    <row r="290">
      <c r="A290" s="157" t="inlineStr">
        <is>
          <t>AI security</t>
        </is>
      </c>
      <c r="B290" s="157" t="inlineStr">
        <is>
          <t>MITRE ATLAS mitigations</t>
        </is>
      </c>
      <c r="C290" s="157" t="inlineStr">
        <is>
          <t>Mitigations</t>
        </is>
      </c>
      <c r="D290" s="157" t="inlineStr">
        <is>
          <t>AML.M0016</t>
        </is>
      </c>
      <c r="E290" s="157" t="inlineStr">
        <is>
          <t>Vulnerability Scanning</t>
        </is>
      </c>
      <c r="F290" s="157" t="inlineStr">
        <is>
          <t>AI-CTRL-031, AI-CTRL-032</t>
        </is>
      </c>
      <c r="G290" s="157" t="inlineStr">
        <is>
          <t>AI-R08, AI-R10, AI-R16, AI-R23</t>
        </is>
      </c>
      <c r="H290" s="157" t="inlineStr">
        <is>
          <t>Derived via mapped controls</t>
        </is>
      </c>
      <c r="I290" s="157" t="inlineStr"/>
      <c r="J290" s="157" t="inlineStr">
        <is>
          <t>Test cases under those controls: 51</t>
        </is>
      </c>
      <c r="K290" s="157" t="inlineStr">
        <is>
          <t>https://nachi065.github.io/AI-Security-Wiki/23_Framework_Crosswalks/07_MITRE_ATLAS_Crosswalk.html</t>
        </is>
      </c>
    </row>
    <row r="291">
      <c r="A291" s="6" t="inlineStr">
        <is>
          <t>AI security</t>
        </is>
      </c>
      <c r="B291" s="6" t="inlineStr">
        <is>
          <t>MITRE ATLAS mitigations</t>
        </is>
      </c>
      <c r="C291" s="6" t="inlineStr">
        <is>
          <t>Mitigations</t>
        </is>
      </c>
      <c r="D291" s="6" t="inlineStr">
        <is>
          <t>AML.M0018</t>
        </is>
      </c>
      <c r="E291" s="6" t="inlineStr">
        <is>
          <t>User Training</t>
        </is>
      </c>
      <c r="F291" s="6" t="inlineStr">
        <is>
          <t>AI-CTRL-012</t>
        </is>
      </c>
      <c r="G291" s="6" t="inlineStr">
        <is>
          <t>AI-R02, AI-R03, AI-R18, AI-R19, AI-R27, AI-R28</t>
        </is>
      </c>
      <c r="H291" s="6" t="inlineStr">
        <is>
          <t>Derived via mapped controls</t>
        </is>
      </c>
      <c r="I291" s="6" t="inlineStr"/>
      <c r="J291" s="6" t="inlineStr">
        <is>
          <t>Test cases under those controls: 8</t>
        </is>
      </c>
      <c r="K291" s="6" t="inlineStr">
        <is>
          <t>https://nachi065.github.io/AI-Security-Wiki/23_Framework_Crosswalks/07_MITRE_ATLAS_Crosswalk.html</t>
        </is>
      </c>
    </row>
    <row r="292">
      <c r="A292" s="157" t="inlineStr">
        <is>
          <t>AI security</t>
        </is>
      </c>
      <c r="B292" s="157" t="inlineStr">
        <is>
          <t>MITRE ATLAS mitigations</t>
        </is>
      </c>
      <c r="C292" s="157" t="inlineStr">
        <is>
          <t>Mitigations</t>
        </is>
      </c>
      <c r="D292" s="157" t="inlineStr">
        <is>
          <t>AML.M0019</t>
        </is>
      </c>
      <c r="E292" s="157" t="inlineStr">
        <is>
          <t>Control Access to AI Models and Data in Production</t>
        </is>
      </c>
      <c r="F292" s="157" t="inlineStr">
        <is>
          <t>AI-CTRL-015, AI-CTRL-018, AI-CTRL-032</t>
        </is>
      </c>
      <c r="G292" s="157" t="inlineStr">
        <is>
          <t>AI-R06, AI-R07, AI-R08, AI-R10, AI-R22, AI-R25</t>
        </is>
      </c>
      <c r="H292" s="157" t="inlineStr">
        <is>
          <t>Derived via mapped controls</t>
        </is>
      </c>
      <c r="I292" s="157" t="inlineStr"/>
      <c r="J292" s="157" t="inlineStr">
        <is>
          <t>Test cases under those controls: 81</t>
        </is>
      </c>
      <c r="K292" s="157" t="inlineStr">
        <is>
          <t>https://nachi065.github.io/AI-Security-Wiki/23_Framework_Crosswalks/07_MITRE_ATLAS_Crosswalk.html</t>
        </is>
      </c>
    </row>
    <row r="293">
      <c r="A293" s="6" t="inlineStr">
        <is>
          <t>AI security</t>
        </is>
      </c>
      <c r="B293" s="6" t="inlineStr">
        <is>
          <t>MITRE ATLAS mitigations</t>
        </is>
      </c>
      <c r="C293" s="6" t="inlineStr">
        <is>
          <t>Mitigations</t>
        </is>
      </c>
      <c r="D293" s="6" t="inlineStr">
        <is>
          <t>AML.M0020</t>
        </is>
      </c>
      <c r="E293" s="6" t="inlineStr">
        <is>
          <t>Generative AI Guardrails</t>
        </is>
      </c>
      <c r="F293" s="6" t="inlineStr">
        <is>
          <t>AI-CTRL-002, AI-CTRL-003, AI-CTRL-005, AI-CTRL-010, AI-CTRL-020, AI-CTRL-021, AI-CTRL-039</t>
        </is>
      </c>
      <c r="G293" s="6" t="inlineStr">
        <is>
          <t>AI-R01, AI-R02, AI-R03, AI-R05, AI-R06, AI-R12, AI-R14, AI-R20, AI-R24, AI-R26, AI-R27</t>
        </is>
      </c>
      <c r="H293" s="6" t="inlineStr">
        <is>
          <t>Derived via mapped controls</t>
        </is>
      </c>
      <c r="I293" s="6" t="inlineStr"/>
      <c r="J293" s="6" t="inlineStr">
        <is>
          <t>Test cases under those controls: 137</t>
        </is>
      </c>
      <c r="K293" s="6" t="inlineStr">
        <is>
          <t>https://nachi065.github.io/AI-Security-Wiki/23_Framework_Crosswalks/07_MITRE_ATLAS_Crosswalk.html</t>
        </is>
      </c>
    </row>
    <row r="294">
      <c r="A294" s="157" t="inlineStr">
        <is>
          <t>AI security</t>
        </is>
      </c>
      <c r="B294" s="157" t="inlineStr">
        <is>
          <t>MITRE ATLAS mitigations</t>
        </is>
      </c>
      <c r="C294" s="157" t="inlineStr">
        <is>
          <t>Mitigations</t>
        </is>
      </c>
      <c r="D294" s="157" t="inlineStr">
        <is>
          <t>AML.M0021</t>
        </is>
      </c>
      <c r="E294" s="157" t="inlineStr">
        <is>
          <t>Generative AI Guidelines</t>
        </is>
      </c>
      <c r="F294" s="157" t="inlineStr">
        <is>
          <t>AI-CTRL-005</t>
        </is>
      </c>
      <c r="G294" s="157" t="inlineStr">
        <is>
          <t>AI-R05, AI-R06, AI-R24</t>
        </is>
      </c>
      <c r="H294" s="157" t="inlineStr">
        <is>
          <t>Derived via mapped controls</t>
        </is>
      </c>
      <c r="I294" s="157" t="inlineStr"/>
      <c r="J294" s="157" t="inlineStr">
        <is>
          <t>Test cases under those controls: 52</t>
        </is>
      </c>
      <c r="K294" s="157" t="inlineStr">
        <is>
          <t>https://nachi065.github.io/AI-Security-Wiki/23_Framework_Crosswalks/07_MITRE_ATLAS_Crosswalk.html</t>
        </is>
      </c>
    </row>
    <row r="295">
      <c r="A295" s="6" t="inlineStr">
        <is>
          <t>AI security</t>
        </is>
      </c>
      <c r="B295" s="6" t="inlineStr">
        <is>
          <t>MITRE ATLAS mitigations</t>
        </is>
      </c>
      <c r="C295" s="6" t="inlineStr">
        <is>
          <t>Mitigations</t>
        </is>
      </c>
      <c r="D295" s="6" t="inlineStr">
        <is>
          <t>AML.M0022</t>
        </is>
      </c>
      <c r="E295" s="6" t="inlineStr">
        <is>
          <t>Generative AI Model Alignment</t>
        </is>
      </c>
      <c r="F295" s="6" t="inlineStr">
        <is>
          <t>AI-CTRL-039</t>
        </is>
      </c>
      <c r="G295" s="6" t="inlineStr">
        <is>
          <t>AI-R12, AI-R14, AI-R20</t>
        </is>
      </c>
      <c r="H295" s="6" t="inlineStr">
        <is>
          <t>Derived via mapped controls</t>
        </is>
      </c>
      <c r="I295" s="6" t="inlineStr"/>
      <c r="J295" s="6" t="inlineStr">
        <is>
          <t>Test cases under those controls: 9</t>
        </is>
      </c>
      <c r="K295" s="6" t="inlineStr">
        <is>
          <t>https://nachi065.github.io/AI-Security-Wiki/23_Framework_Crosswalks/07_MITRE_ATLAS_Crosswalk.html</t>
        </is>
      </c>
    </row>
    <row r="296">
      <c r="A296" s="157" t="inlineStr">
        <is>
          <t>AI security</t>
        </is>
      </c>
      <c r="B296" s="157" t="inlineStr">
        <is>
          <t>MITRE ATLAS mitigations</t>
        </is>
      </c>
      <c r="C296" s="157" t="inlineStr">
        <is>
          <t>Mitigations</t>
        </is>
      </c>
      <c r="D296" s="157" t="inlineStr">
        <is>
          <t>AML.M0023</t>
        </is>
      </c>
      <c r="E296" s="157" t="inlineStr">
        <is>
          <t>AI Bill of Materials</t>
        </is>
      </c>
      <c r="F296" s="157" t="inlineStr">
        <is>
          <t>AI-CTRL-031</t>
        </is>
      </c>
      <c r="G296" s="157" t="inlineStr">
        <is>
          <t>AI-R08, AI-R16, AI-R23</t>
        </is>
      </c>
      <c r="H296" s="157" t="inlineStr">
        <is>
          <t>Derived via mapped controls</t>
        </is>
      </c>
      <c r="I296" s="157" t="inlineStr"/>
      <c r="J296" s="157" t="inlineStr">
        <is>
          <t>Test cases under those controls: 25</t>
        </is>
      </c>
      <c r="K296" s="157" t="inlineStr">
        <is>
          <t>https://nachi065.github.io/AI-Security-Wiki/23_Framework_Crosswalks/07_MITRE_ATLAS_Crosswalk.html</t>
        </is>
      </c>
    </row>
    <row r="297">
      <c r="A297" s="6" t="inlineStr">
        <is>
          <t>AI security</t>
        </is>
      </c>
      <c r="B297" s="6" t="inlineStr">
        <is>
          <t>MITRE ATLAS mitigations</t>
        </is>
      </c>
      <c r="C297" s="6" t="inlineStr">
        <is>
          <t>Mitigations</t>
        </is>
      </c>
      <c r="D297" s="6" t="inlineStr">
        <is>
          <t>AML.M0024</t>
        </is>
      </c>
      <c r="E297" s="6" t="inlineStr">
        <is>
          <t>AI Telemetry Logging</t>
        </is>
      </c>
      <c r="F297" s="6" t="inlineStr">
        <is>
          <t>AI-CTRL-006, AI-CTRL-008, AI-CTRL-009, AI-CTRL-035</t>
        </is>
      </c>
      <c r="G297" s="6" t="inlineStr">
        <is>
          <t>AI-R07, AI-R09, AI-R15, AI-R20, AI-R25, AI-R26</t>
        </is>
      </c>
      <c r="H297" s="6" t="inlineStr">
        <is>
          <t>Derived via mapped controls</t>
        </is>
      </c>
      <c r="I297" s="6" t="inlineStr"/>
      <c r="J297" s="6" t="inlineStr">
        <is>
          <t>Test cases under those controls: 92</t>
        </is>
      </c>
      <c r="K297" s="6" t="inlineStr">
        <is>
          <t>https://nachi065.github.io/AI-Security-Wiki/23_Framework_Crosswalks/07_MITRE_ATLAS_Crosswalk.html</t>
        </is>
      </c>
    </row>
    <row r="298">
      <c r="A298" s="157" t="inlineStr">
        <is>
          <t>AI security</t>
        </is>
      </c>
      <c r="B298" s="157" t="inlineStr">
        <is>
          <t>MITRE ATLAS mitigations</t>
        </is>
      </c>
      <c r="C298" s="157" t="inlineStr">
        <is>
          <t>Mitigations</t>
        </is>
      </c>
      <c r="D298" s="157" t="inlineStr">
        <is>
          <t>AML.M0025</t>
        </is>
      </c>
      <c r="E298" s="157" t="inlineStr">
        <is>
          <t>Maintain AI Dataset Provenance</t>
        </is>
      </c>
      <c r="F298" s="157" t="inlineStr">
        <is>
          <t>AI-CTRL-019, AI-CTRL-029</t>
        </is>
      </c>
      <c r="G298" s="157" t="inlineStr">
        <is>
          <t>AI-R05, AI-R08, AI-R17</t>
        </is>
      </c>
      <c r="H298" s="157" t="inlineStr">
        <is>
          <t>Derived via mapped controls</t>
        </is>
      </c>
      <c r="I298" s="157" t="inlineStr"/>
      <c r="J298" s="157" t="inlineStr">
        <is>
          <t>Test cases under those controls: 33</t>
        </is>
      </c>
      <c r="K298" s="157" t="inlineStr">
        <is>
          <t>https://nachi065.github.io/AI-Security-Wiki/23_Framework_Crosswalks/07_MITRE_ATLAS_Crosswalk.html</t>
        </is>
      </c>
    </row>
    <row r="299">
      <c r="A299" s="6" t="inlineStr">
        <is>
          <t>AI security</t>
        </is>
      </c>
      <c r="B299" s="6" t="inlineStr">
        <is>
          <t>MITRE ATLAS mitigations</t>
        </is>
      </c>
      <c r="C299" s="6" t="inlineStr">
        <is>
          <t>Mitigations</t>
        </is>
      </c>
      <c r="D299" s="6" t="inlineStr">
        <is>
          <t>AML.M0026</t>
        </is>
      </c>
      <c r="E299" s="6" t="inlineStr">
        <is>
          <t>Privileged AI Agent Permissions Configuration</t>
        </is>
      </c>
      <c r="F299" s="6" t="inlineStr">
        <is>
          <t>AI-CTRL-016</t>
        </is>
      </c>
      <c r="G299" s="6" t="inlineStr">
        <is>
          <t>AI-R06, AI-R07, AI-R08, AI-R22</t>
        </is>
      </c>
      <c r="H299" s="6" t="inlineStr">
        <is>
          <t>Derived via mapped controls</t>
        </is>
      </c>
      <c r="I299" s="6" t="inlineStr"/>
      <c r="J299" s="6" t="inlineStr">
        <is>
          <t>Test cases under those controls: 53</t>
        </is>
      </c>
      <c r="K299" s="6" t="inlineStr">
        <is>
          <t>https://nachi065.github.io/AI-Security-Wiki/23_Framework_Crosswalks/07_MITRE_ATLAS_Crosswalk.html</t>
        </is>
      </c>
    </row>
    <row r="300">
      <c r="A300" s="157" t="inlineStr">
        <is>
          <t>AI security</t>
        </is>
      </c>
      <c r="B300" s="157" t="inlineStr">
        <is>
          <t>MITRE ATLAS mitigations</t>
        </is>
      </c>
      <c r="C300" s="157" t="inlineStr">
        <is>
          <t>Mitigations</t>
        </is>
      </c>
      <c r="D300" s="157" t="inlineStr">
        <is>
          <t>AML.M0027</t>
        </is>
      </c>
      <c r="E300" s="157" t="inlineStr">
        <is>
          <t>Single-User AI Agent Permissions Configuration</t>
        </is>
      </c>
      <c r="F300" s="157" t="inlineStr">
        <is>
          <t>AI-CTRL-016, AI-CTRL-018</t>
        </is>
      </c>
      <c r="G300" s="157" t="inlineStr">
        <is>
          <t>AI-R06, AI-R07, AI-R08, AI-R22</t>
        </is>
      </c>
      <c r="H300" s="157" t="inlineStr">
        <is>
          <t>Derived via mapped controls</t>
        </is>
      </c>
      <c r="I300" s="157" t="inlineStr"/>
      <c r="J300" s="157" t="inlineStr">
        <is>
          <t>Test cases under those controls: 63</t>
        </is>
      </c>
      <c r="K300" s="157" t="inlineStr">
        <is>
          <t>https://nachi065.github.io/AI-Security-Wiki/23_Framework_Crosswalks/07_MITRE_ATLAS_Crosswalk.html</t>
        </is>
      </c>
    </row>
    <row r="301">
      <c r="A301" s="6" t="inlineStr">
        <is>
          <t>AI security</t>
        </is>
      </c>
      <c r="B301" s="6" t="inlineStr">
        <is>
          <t>MITRE ATLAS mitigations</t>
        </is>
      </c>
      <c r="C301" s="6" t="inlineStr">
        <is>
          <t>Mitigations</t>
        </is>
      </c>
      <c r="D301" s="6" t="inlineStr">
        <is>
          <t>AML.M0028</t>
        </is>
      </c>
      <c r="E301" s="6" t="inlineStr">
        <is>
          <t>AI Agent Tools Permissions Configuration</t>
        </is>
      </c>
      <c r="F301" s="6" t="inlineStr">
        <is>
          <t>AI-CTRL-016, AI-CTRL-022, AI-CTRL-024</t>
        </is>
      </c>
      <c r="G301" s="6" t="inlineStr">
        <is>
          <t>AI-R06, AI-R07, AI-R08, AI-R22, AI-R23, AI-R24</t>
        </is>
      </c>
      <c r="H301" s="6" t="inlineStr">
        <is>
          <t>Derived via mapped controls</t>
        </is>
      </c>
      <c r="I301" s="6" t="inlineStr"/>
      <c r="J301" s="6" t="inlineStr">
        <is>
          <t>Test cases under those controls: 80</t>
        </is>
      </c>
      <c r="K301" s="6" t="inlineStr">
        <is>
          <t>https://nachi065.github.io/AI-Security-Wiki/23_Framework_Crosswalks/07_MITRE_ATLAS_Crosswalk.html</t>
        </is>
      </c>
    </row>
    <row r="302">
      <c r="A302" s="157" t="inlineStr">
        <is>
          <t>AI security</t>
        </is>
      </c>
      <c r="B302" s="157" t="inlineStr">
        <is>
          <t>MITRE ATLAS mitigations</t>
        </is>
      </c>
      <c r="C302" s="157" t="inlineStr">
        <is>
          <t>Mitigations</t>
        </is>
      </c>
      <c r="D302" s="157" t="inlineStr">
        <is>
          <t>AML.M0029</t>
        </is>
      </c>
      <c r="E302" s="157" t="inlineStr">
        <is>
          <t>Human In-the-Loop for AI Agent Actions</t>
        </is>
      </c>
      <c r="F302" s="157" t="inlineStr">
        <is>
          <t>AI-CTRL-023, AI-CTRL-045</t>
        </is>
      </c>
      <c r="G302" s="157" t="inlineStr">
        <is>
          <t>AI-R07, AI-R12, AI-R14, AI-R18, AI-R19, AI-R28</t>
        </is>
      </c>
      <c r="H302" s="157" t="inlineStr">
        <is>
          <t>Derived via mapped controls</t>
        </is>
      </c>
      <c r="I302" s="157" t="inlineStr"/>
      <c r="J302" s="157" t="inlineStr">
        <is>
          <t>Test cases under those controls: 10</t>
        </is>
      </c>
      <c r="K302" s="157" t="inlineStr">
        <is>
          <t>https://nachi065.github.io/AI-Security-Wiki/23_Framework_Crosswalks/07_MITRE_ATLAS_Crosswalk.html</t>
        </is>
      </c>
    </row>
    <row r="303">
      <c r="A303" s="6" t="inlineStr">
        <is>
          <t>AI security</t>
        </is>
      </c>
      <c r="B303" s="6" t="inlineStr">
        <is>
          <t>MITRE ATLAS mitigations</t>
        </is>
      </c>
      <c r="C303" s="6" t="inlineStr">
        <is>
          <t>Mitigations</t>
        </is>
      </c>
      <c r="D303" s="6" t="inlineStr">
        <is>
          <t>AML.M0030</t>
        </is>
      </c>
      <c r="E303" s="6" t="inlineStr">
        <is>
          <t>Restrict AI Agent Tool Invocation on Untrusted Data</t>
        </is>
      </c>
      <c r="F303" s="6" t="inlineStr">
        <is>
          <t>AI-CTRL-022</t>
        </is>
      </c>
      <c r="G303" s="6" t="inlineStr">
        <is>
          <t>AI-R07, AI-R24</t>
        </is>
      </c>
      <c r="H303" s="6" t="inlineStr">
        <is>
          <t>Derived via mapped controls</t>
        </is>
      </c>
      <c r="I303" s="6" t="inlineStr"/>
      <c r="J303" s="6" t="inlineStr">
        <is>
          <t>Test cases under those controls: 19</t>
        </is>
      </c>
      <c r="K303" s="6" t="inlineStr">
        <is>
          <t>https://nachi065.github.io/AI-Security-Wiki/23_Framework_Crosswalks/07_MITRE_ATLAS_Crosswalk.html</t>
        </is>
      </c>
    </row>
    <row r="304">
      <c r="A304" s="157" t="inlineStr">
        <is>
          <t>AI security</t>
        </is>
      </c>
      <c r="B304" s="157" t="inlineStr">
        <is>
          <t>MITRE ATLAS mitigations</t>
        </is>
      </c>
      <c r="C304" s="157" t="inlineStr">
        <is>
          <t>Mitigations</t>
        </is>
      </c>
      <c r="D304" s="157" t="inlineStr">
        <is>
          <t>AML.M0031</t>
        </is>
      </c>
      <c r="E304" s="157" t="inlineStr">
        <is>
          <t>Memory Hardening</t>
        </is>
      </c>
      <c r="F304" s="157" t="inlineStr">
        <is>
          <t>AI-CTRL-026</t>
        </is>
      </c>
      <c r="G304" s="157" t="inlineStr">
        <is>
          <t>AI-R05, AI-R07, AI-R21</t>
        </is>
      </c>
      <c r="H304" s="157" t="inlineStr">
        <is>
          <t>Derived via mapped controls</t>
        </is>
      </c>
      <c r="I304" s="157" t="inlineStr"/>
      <c r="J304" s="157" t="inlineStr">
        <is>
          <t>Test cases under those controls: 9</t>
        </is>
      </c>
      <c r="K304" s="157" t="inlineStr">
        <is>
          <t>https://nachi065.github.io/AI-Security-Wiki/23_Framework_Crosswalks/07_MITRE_ATLAS_Crosswalk.html</t>
        </is>
      </c>
    </row>
    <row r="305">
      <c r="A305" s="6" t="inlineStr">
        <is>
          <t>AI security</t>
        </is>
      </c>
      <c r="B305" s="6" t="inlineStr">
        <is>
          <t>MITRE ATLAS mitigations</t>
        </is>
      </c>
      <c r="C305" s="6" t="inlineStr">
        <is>
          <t>Mitigations</t>
        </is>
      </c>
      <c r="D305" s="6" t="inlineStr">
        <is>
          <t>AML.M0032</t>
        </is>
      </c>
      <c r="E305" s="6" t="inlineStr">
        <is>
          <t>Segmentation of AI Agent Components</t>
        </is>
      </c>
      <c r="F305" s="6" t="inlineStr">
        <is>
          <t>AI-CTRL-027</t>
        </is>
      </c>
      <c r="G305" s="6" t="inlineStr">
        <is>
          <t>AI-R07, AI-R21, AI-R22, AI-R25, AI-R55</t>
        </is>
      </c>
      <c r="H305" s="6" t="inlineStr">
        <is>
          <t>Derived via mapped controls</t>
        </is>
      </c>
      <c r="I305" s="6" t="inlineStr"/>
      <c r="J305" s="6" t="inlineStr">
        <is>
          <t>Test cases under those controls: 12</t>
        </is>
      </c>
      <c r="K305" s="6" t="inlineStr">
        <is>
          <t>https://nachi065.github.io/AI-Security-Wiki/23_Framework_Crosswalks/07_MITRE_ATLAS_Crosswalk.html</t>
        </is>
      </c>
    </row>
    <row r="306">
      <c r="A306" s="157" t="inlineStr">
        <is>
          <t>AI security</t>
        </is>
      </c>
      <c r="B306" s="157" t="inlineStr">
        <is>
          <t>MITRE ATLAS mitigations</t>
        </is>
      </c>
      <c r="C306" s="157" t="inlineStr">
        <is>
          <t>Mitigations</t>
        </is>
      </c>
      <c r="D306" s="157" t="inlineStr">
        <is>
          <t>AML.M0033</t>
        </is>
      </c>
      <c r="E306" s="157" t="inlineStr">
        <is>
          <t>Input and Output Validation for AI Agent Components</t>
        </is>
      </c>
      <c r="F306" s="157" t="inlineStr">
        <is>
          <t>AI-CTRL-005, AI-CTRL-020, AI-CTRL-022</t>
        </is>
      </c>
      <c r="G306" s="157" t="inlineStr">
        <is>
          <t>AI-R05, AI-R06, AI-R07, AI-R24, AI-R26</t>
        </is>
      </c>
      <c r="H306" s="157" t="inlineStr">
        <is>
          <t>Derived via mapped controls</t>
        </is>
      </c>
      <c r="I306" s="157" t="inlineStr"/>
      <c r="J306" s="157" t="inlineStr">
        <is>
          <t>Test cases under those controls: 80</t>
        </is>
      </c>
      <c r="K306" s="157" t="inlineStr">
        <is>
          <t>https://nachi065.github.io/AI-Security-Wiki/23_Framework_Crosswalks/07_MITRE_ATLAS_Crosswalk.html</t>
        </is>
      </c>
    </row>
    <row r="307">
      <c r="A307" s="6" t="inlineStr">
        <is>
          <t>AI security</t>
        </is>
      </c>
      <c r="B307" s="6" t="inlineStr">
        <is>
          <t>MITRE ATLAS mitigations</t>
        </is>
      </c>
      <c r="C307" s="6" t="inlineStr">
        <is>
          <t>Mitigations</t>
        </is>
      </c>
      <c r="D307" s="6" t="inlineStr">
        <is>
          <t>AML.M0034</t>
        </is>
      </c>
      <c r="E307" s="6" t="inlineStr">
        <is>
          <t>Deepfake Detection</t>
        </is>
      </c>
      <c r="F307" s="6" t="inlineStr">
        <is>
          <t>AI-CTRL-021</t>
        </is>
      </c>
      <c r="G307" s="6" t="inlineStr">
        <is>
          <t>AI-R03, AI-R05</t>
        </is>
      </c>
      <c r="H307" s="6" t="inlineStr">
        <is>
          <t>Derived via mapped controls</t>
        </is>
      </c>
      <c r="I307" s="6" t="inlineStr"/>
      <c r="J307" s="6" t="inlineStr">
        <is>
          <t>Test cases under those controls: 28</t>
        </is>
      </c>
      <c r="K307" s="6" t="inlineStr">
        <is>
          <t>https://nachi065.github.io/AI-Security-Wiki/23_Framework_Crosswalks/07_MITRE_ATLAS_Crosswalk.html</t>
        </is>
      </c>
    </row>
    <row r="308">
      <c r="A308" s="157" t="inlineStr">
        <is>
          <t>AI security</t>
        </is>
      </c>
      <c r="B308" s="157" t="inlineStr">
        <is>
          <t>MITRE ATLAS mitigations</t>
        </is>
      </c>
      <c r="C308" s="157" t="inlineStr">
        <is>
          <t>Mitigations</t>
        </is>
      </c>
      <c r="D308" s="157" t="inlineStr">
        <is>
          <t>AML.M0035</t>
        </is>
      </c>
      <c r="E308" s="157" t="inlineStr">
        <is>
          <t>AI Red Team</t>
        </is>
      </c>
      <c r="F308" s="157" t="inlineStr">
        <is>
          <t>AI-CTRL-034</t>
        </is>
      </c>
      <c r="G308" s="157" t="inlineStr">
        <is>
          <t>AI-R05, AI-R07, AI-R16, AI-R17, AI-R20</t>
        </is>
      </c>
      <c r="H308" s="157" t="inlineStr">
        <is>
          <t>Derived via mapped controls</t>
        </is>
      </c>
      <c r="I308" s="157" t="inlineStr"/>
      <c r="J308" s="157" t="inlineStr">
        <is>
          <t>Test cases under those controls: 38</t>
        </is>
      </c>
      <c r="K308" s="157" t="inlineStr">
        <is>
          <t>https://nachi065.github.io/AI-Security-Wiki/23_Framework_Crosswalks/07_MITRE_ATLAS_Crosswalk.html</t>
        </is>
      </c>
    </row>
    <row r="309">
      <c r="A309" s="6" t="inlineStr">
        <is>
          <t>AI security</t>
        </is>
      </c>
      <c r="B309" s="6" t="inlineStr">
        <is>
          <t>MITRE ATLAS mitigations</t>
        </is>
      </c>
      <c r="C309" s="6" t="inlineStr">
        <is>
          <t>Mitigations</t>
        </is>
      </c>
      <c r="D309" s="6" t="inlineStr">
        <is>
          <t>AML.M0036</t>
        </is>
      </c>
      <c r="E309" s="6" t="inlineStr">
        <is>
          <t>Limit AI Workload Resource Consumption</t>
        </is>
      </c>
      <c r="F309" s="6" t="inlineStr">
        <is>
          <t>AI-CTRL-025, AI-CTRL-036, AI-CTRL-040</t>
        </is>
      </c>
      <c r="G309" s="6" t="inlineStr">
        <is>
          <t>AI-R07, AI-R11, AI-R13, AI-R16, AI-R21, AI-R25, AI-R55</t>
        </is>
      </c>
      <c r="H309" s="6" t="inlineStr">
        <is>
          <t>Derived via mapped controls</t>
        </is>
      </c>
      <c r="I309" s="6" t="inlineStr"/>
      <c r="J309" s="6" t="inlineStr">
        <is>
          <t>Test cases under those controls: 54</t>
        </is>
      </c>
      <c r="K309" s="6" t="inlineStr">
        <is>
          <t>https://nachi065.github.io/AI-Security-Wiki/23_Framework_Crosswalks/07_MITRE_ATLAS_Crosswalk.html</t>
        </is>
      </c>
    </row>
    <row r="310">
      <c r="A310" s="157" t="inlineStr">
        <is>
          <t>AI security</t>
        </is>
      </c>
      <c r="B310" s="157" t="inlineStr">
        <is>
          <t>MITRE ATLAS mitigations</t>
        </is>
      </c>
      <c r="C310" s="157" t="inlineStr">
        <is>
          <t>Mitigations</t>
        </is>
      </c>
      <c r="D310" s="157" t="inlineStr">
        <is>
          <t>AML.M0037</t>
        </is>
      </c>
      <c r="E310" s="157" t="inlineStr">
        <is>
          <t>AI Agent Authority Expansion Controls</t>
        </is>
      </c>
      <c r="F310" s="157" t="inlineStr">
        <is>
          <t>AI-CTRL-025</t>
        </is>
      </c>
      <c r="G310" s="157" t="inlineStr">
        <is>
          <t>AI-R07, AI-R11, AI-R21, AI-R25, AI-R55</t>
        </is>
      </c>
      <c r="H310" s="157" t="inlineStr">
        <is>
          <t>Derived via mapped controls</t>
        </is>
      </c>
      <c r="I310" s="157" t="inlineStr"/>
      <c r="J310" s="157" t="inlineStr">
        <is>
          <t>Test cases under those controls: 13</t>
        </is>
      </c>
      <c r="K310" s="157" t="inlineStr">
        <is>
          <t>https://nachi065.github.io/AI-Security-Wiki/23_Framework_Crosswalks/07_MITRE_ATLAS_Crosswalk.html</t>
        </is>
      </c>
    </row>
    <row r="311">
      <c r="A311" s="6" t="inlineStr">
        <is>
          <t>AI security</t>
        </is>
      </c>
      <c r="B311" s="6" t="inlineStr">
        <is>
          <t>MITRE ATLAS mitigations</t>
        </is>
      </c>
      <c r="C311" s="6" t="inlineStr">
        <is>
          <t>Mitigations</t>
        </is>
      </c>
      <c r="D311" s="6" t="inlineStr">
        <is>
          <t>AML.M0038</t>
        </is>
      </c>
      <c r="E311" s="6" t="inlineStr">
        <is>
          <t>AI Agent Scope Drift Detection</t>
        </is>
      </c>
      <c r="F311" s="6" t="inlineStr">
        <is>
          <t>AI-CTRL-006</t>
        </is>
      </c>
      <c r="G311" s="6" t="inlineStr">
        <is>
          <t>AI-R07, AI-R25</t>
        </is>
      </c>
      <c r="H311" s="6" t="inlineStr">
        <is>
          <t>Derived via mapped controls</t>
        </is>
      </c>
      <c r="I311" s="6" t="inlineStr"/>
      <c r="J311" s="6" t="inlineStr">
        <is>
          <t>Test cases under those controls: 15</t>
        </is>
      </c>
      <c r="K311" s="6" t="inlineStr">
        <is>
          <t>https://nachi065.github.io/AI-Security-Wiki/23_Framework_Crosswalks/07_MITRE_ATLAS_Crosswalk.html</t>
        </is>
      </c>
    </row>
    <row r="312">
      <c r="A312" s="157" t="inlineStr">
        <is>
          <t>ISO/IEC standards</t>
        </is>
      </c>
      <c r="B312" s="157" t="inlineStr">
        <is>
          <t>ISO/IEC 27001:2022 Annex A</t>
        </is>
      </c>
      <c r="C312" s="157" t="inlineStr">
        <is>
          <t>Annex A controls</t>
        </is>
      </c>
      <c r="D312" s="157" t="inlineStr">
        <is>
          <t>A.5.1</t>
        </is>
      </c>
      <c r="E312" s="157" t="inlineStr">
        <is>
          <t>Policies for information security</t>
        </is>
      </c>
      <c r="F312" s="157" t="inlineStr">
        <is>
          <t>AI-CTRL-012</t>
        </is>
      </c>
      <c r="G312" s="157" t="inlineStr">
        <is>
          <t>AI-R02, AI-R03, AI-R18, AI-R19, AI-R27, AI-R28</t>
        </is>
      </c>
      <c r="H312" s="157" t="inlineStr">
        <is>
          <t>Derived via mapped controls</t>
        </is>
      </c>
      <c r="I312" s="157" t="inlineStr"/>
      <c r="J312" s="157" t="inlineStr">
        <is>
          <t>Test cases under those controls: 8</t>
        </is>
      </c>
      <c r="K312" s="157" t="inlineStr">
        <is>
          <t>https://nachi065.github.io/AI-Security-Wiki/23_Framework_Crosswalks/08_ISO_IEC_27001_Crosswalk.html</t>
        </is>
      </c>
    </row>
    <row r="313">
      <c r="A313" s="6" t="inlineStr">
        <is>
          <t>ISO/IEC standards</t>
        </is>
      </c>
      <c r="B313" s="6" t="inlineStr">
        <is>
          <t>ISO/IEC 27001:2022 Annex A</t>
        </is>
      </c>
      <c r="C313" s="6" t="inlineStr">
        <is>
          <t>Annex A controls</t>
        </is>
      </c>
      <c r="D313" s="6" t="inlineStr">
        <is>
          <t>A.5.2</t>
        </is>
      </c>
      <c r="E313" s="6" t="inlineStr">
        <is>
          <t>Information security roles and responsibilities</t>
        </is>
      </c>
      <c r="F313" s="6" t="inlineStr">
        <is>
          <t>AI-CTRL-012</t>
        </is>
      </c>
      <c r="G313" s="6" t="inlineStr">
        <is>
          <t>AI-R02, AI-R03, AI-R18, AI-R19, AI-R27, AI-R28</t>
        </is>
      </c>
      <c r="H313" s="6" t="inlineStr">
        <is>
          <t>Derived via mapped controls</t>
        </is>
      </c>
      <c r="I313" s="6" t="inlineStr"/>
      <c r="J313" s="6" t="inlineStr">
        <is>
          <t>Test cases under those controls: 8</t>
        </is>
      </c>
      <c r="K313" s="6" t="inlineStr">
        <is>
          <t>https://nachi065.github.io/AI-Security-Wiki/23_Framework_Crosswalks/08_ISO_IEC_27001_Crosswalk.html</t>
        </is>
      </c>
    </row>
    <row r="314">
      <c r="A314" s="157" t="inlineStr">
        <is>
          <t>ISO/IEC standards</t>
        </is>
      </c>
      <c r="B314" s="157" t="inlineStr">
        <is>
          <t>ISO/IEC 27001:2022 Annex A</t>
        </is>
      </c>
      <c r="C314" s="157" t="inlineStr">
        <is>
          <t>Annex A controls</t>
        </is>
      </c>
      <c r="D314" s="157" t="inlineStr">
        <is>
          <t>A.5.3</t>
        </is>
      </c>
      <c r="E314" s="157" t="inlineStr">
        <is>
          <t>Segregation of duties</t>
        </is>
      </c>
      <c r="F314" s="157" t="inlineStr">
        <is>
          <t>AI-CTRL-022, AI-CTRL-023</t>
        </is>
      </c>
      <c r="G314" s="157" t="inlineStr">
        <is>
          <t>AI-R07, AI-R19, AI-R24</t>
        </is>
      </c>
      <c r="H314" s="157" t="inlineStr">
        <is>
          <t>Derived via mapped controls</t>
        </is>
      </c>
      <c r="I314" s="157" t="inlineStr"/>
      <c r="J314" s="157" t="inlineStr">
        <is>
          <t>Test cases under those controls: 26</t>
        </is>
      </c>
      <c r="K314" s="157" t="inlineStr">
        <is>
          <t>https://nachi065.github.io/AI-Security-Wiki/23_Framework_Crosswalks/08_ISO_IEC_27001_Crosswalk.html</t>
        </is>
      </c>
    </row>
    <row r="315">
      <c r="A315" s="6" t="inlineStr">
        <is>
          <t>ISO/IEC standards</t>
        </is>
      </c>
      <c r="B315" s="6" t="inlineStr">
        <is>
          <t>ISO/IEC 27001:2022 Annex A</t>
        </is>
      </c>
      <c r="C315" s="6" t="inlineStr">
        <is>
          <t>Annex A controls</t>
        </is>
      </c>
      <c r="D315" s="6" t="inlineStr">
        <is>
          <t>A.5.4</t>
        </is>
      </c>
      <c r="E315" s="6" t="inlineStr">
        <is>
          <t>Management responsibilities</t>
        </is>
      </c>
      <c r="F315" s="6" t="inlineStr">
        <is>
          <t>AI-CTRL-012</t>
        </is>
      </c>
      <c r="G315" s="6" t="inlineStr">
        <is>
          <t>AI-R02, AI-R03, AI-R18, AI-R19, AI-R27, AI-R28</t>
        </is>
      </c>
      <c r="H315" s="6" t="inlineStr">
        <is>
          <t>Derived via mapped controls</t>
        </is>
      </c>
      <c r="I315" s="6" t="inlineStr"/>
      <c r="J315" s="6" t="inlineStr">
        <is>
          <t>Test cases under those controls: 8</t>
        </is>
      </c>
      <c r="K315" s="6" t="inlineStr">
        <is>
          <t>https://nachi065.github.io/AI-Security-Wiki/23_Framework_Crosswalks/08_ISO_IEC_27001_Crosswalk.html</t>
        </is>
      </c>
    </row>
    <row r="316">
      <c r="A316" s="157" t="inlineStr">
        <is>
          <t>ISO/IEC standards</t>
        </is>
      </c>
      <c r="B316" s="157" t="inlineStr">
        <is>
          <t>ISO/IEC 27001:2022 Annex A</t>
        </is>
      </c>
      <c r="C316" s="157" t="inlineStr">
        <is>
          <t>Annex A controls</t>
        </is>
      </c>
      <c r="D316" s="157" t="inlineStr">
        <is>
          <t>A.5.5</t>
        </is>
      </c>
      <c r="E316" s="157" t="inlineStr">
        <is>
          <t>Contact with authorities</t>
        </is>
      </c>
      <c r="F316" s="157" t="inlineStr">
        <is>
          <t>AI-CTRL-043</t>
        </is>
      </c>
      <c r="G316" s="157" t="inlineStr">
        <is>
          <t>AI-R09, AI-R10</t>
        </is>
      </c>
      <c r="H316" s="157" t="inlineStr">
        <is>
          <t>Derived via mapped controls</t>
        </is>
      </c>
      <c r="I316" s="157" t="inlineStr"/>
      <c r="J316" s="157" t="inlineStr">
        <is>
          <t>Test cases under those controls: 4</t>
        </is>
      </c>
      <c r="K316" s="157" t="inlineStr">
        <is>
          <t>https://nachi065.github.io/AI-Security-Wiki/23_Framework_Crosswalks/08_ISO_IEC_27001_Crosswalk.html</t>
        </is>
      </c>
    </row>
    <row r="317">
      <c r="A317" s="6" t="inlineStr">
        <is>
          <t>ISO/IEC standards</t>
        </is>
      </c>
      <c r="B317" s="6" t="inlineStr">
        <is>
          <t>ISO/IEC 27001:2022 Annex A</t>
        </is>
      </c>
      <c r="C317" s="6" t="inlineStr">
        <is>
          <t>Annex A controls</t>
        </is>
      </c>
      <c r="D317" s="6" t="inlineStr">
        <is>
          <t>A.5.6</t>
        </is>
      </c>
      <c r="E317" s="6" t="inlineStr">
        <is>
          <t>Contact with special interest groups</t>
        </is>
      </c>
      <c r="F317" s="6" t="inlineStr">
        <is>
          <t>AI-CTRL-043</t>
        </is>
      </c>
      <c r="G317" s="6" t="inlineStr">
        <is>
          <t>AI-R09, AI-R10</t>
        </is>
      </c>
      <c r="H317" s="6" t="inlineStr">
        <is>
          <t>Derived via mapped controls</t>
        </is>
      </c>
      <c r="I317" s="6" t="inlineStr"/>
      <c r="J317" s="6" t="inlineStr">
        <is>
          <t>Test cases under those controls: 4</t>
        </is>
      </c>
      <c r="K317" s="6" t="inlineStr">
        <is>
          <t>https://nachi065.github.io/AI-Security-Wiki/23_Framework_Crosswalks/08_ISO_IEC_27001_Crosswalk.html</t>
        </is>
      </c>
    </row>
    <row r="318">
      <c r="A318" s="157" t="inlineStr">
        <is>
          <t>ISO/IEC standards</t>
        </is>
      </c>
      <c r="B318" s="157" t="inlineStr">
        <is>
          <t>ISO/IEC 27001:2022 Annex A</t>
        </is>
      </c>
      <c r="C318" s="157" t="inlineStr">
        <is>
          <t>Annex A controls</t>
        </is>
      </c>
      <c r="D318" s="157" t="inlineStr">
        <is>
          <t>A.5.7</t>
        </is>
      </c>
      <c r="E318" s="157" t="inlineStr">
        <is>
          <t>Threat intelligence</t>
        </is>
      </c>
      <c r="F318" s="157" t="inlineStr">
        <is>
          <t>AI-CTRL-034</t>
        </is>
      </c>
      <c r="G318" s="157" t="inlineStr">
        <is>
          <t>AI-R05, AI-R07, AI-R16, AI-R17, AI-R20</t>
        </is>
      </c>
      <c r="H318" s="157" t="inlineStr">
        <is>
          <t>Derived via mapped controls</t>
        </is>
      </c>
      <c r="I318" s="157" t="inlineStr"/>
      <c r="J318" s="157" t="inlineStr">
        <is>
          <t>Test cases under those controls: 38</t>
        </is>
      </c>
      <c r="K318" s="157" t="inlineStr">
        <is>
          <t>https://nachi065.github.io/AI-Security-Wiki/23_Framework_Crosswalks/08_ISO_IEC_27001_Crosswalk.html</t>
        </is>
      </c>
    </row>
    <row r="319">
      <c r="A319" s="6" t="inlineStr">
        <is>
          <t>ISO/IEC standards</t>
        </is>
      </c>
      <c r="B319" s="6" t="inlineStr">
        <is>
          <t>ISO/IEC 27001:2022 Annex A</t>
        </is>
      </c>
      <c r="C319" s="6" t="inlineStr">
        <is>
          <t>Annex A controls</t>
        </is>
      </c>
      <c r="D319" s="6" t="inlineStr">
        <is>
          <t>A.5.8</t>
        </is>
      </c>
      <c r="E319" s="6" t="inlineStr">
        <is>
          <t>Information security in project management</t>
        </is>
      </c>
      <c r="F319" s="6" t="inlineStr">
        <is>
          <t>AI-CTRL-011, AI-CTRL-033, AI-CTRL-042</t>
        </is>
      </c>
      <c r="G319" s="6" t="inlineStr">
        <is>
          <t>AI-R02, AI-R05, AI-R07, AI-R08, AI-R10, AI-R12, AI-R14, AI-R16, AI-R18, AI-R28, AI-R55</t>
        </is>
      </c>
      <c r="H319" s="6" t="inlineStr">
        <is>
          <t>Derived via mapped controls</t>
        </is>
      </c>
      <c r="I319" s="6" t="inlineStr"/>
      <c r="J319" s="6" t="inlineStr">
        <is>
          <t>Test cases under those controls: 29</t>
        </is>
      </c>
      <c r="K319" s="6" t="inlineStr">
        <is>
          <t>https://nachi065.github.io/AI-Security-Wiki/23_Framework_Crosswalks/08_ISO_IEC_27001_Crosswalk.html</t>
        </is>
      </c>
    </row>
    <row r="320">
      <c r="A320" s="157" t="inlineStr">
        <is>
          <t>ISO/IEC standards</t>
        </is>
      </c>
      <c r="B320" s="157" t="inlineStr">
        <is>
          <t>ISO/IEC 27001:2022 Annex A</t>
        </is>
      </c>
      <c r="C320" s="157" t="inlineStr">
        <is>
          <t>Annex A controls</t>
        </is>
      </c>
      <c r="D320" s="157" t="inlineStr">
        <is>
          <t>A.5.9</t>
        </is>
      </c>
      <c r="E320" s="157" t="inlineStr">
        <is>
          <t>Inventory of information and other associated assets</t>
        </is>
      </c>
      <c r="F320" s="157" t="inlineStr">
        <is>
          <t>AI-CTRL-001, AI-CTRL-011, AI-CTRL-029, AI-CTRL-031</t>
        </is>
      </c>
      <c r="G320" s="157" t="inlineStr">
        <is>
          <t>AI-R02, AI-R08, AI-R16, AI-R18, AI-R23</t>
        </is>
      </c>
      <c r="H320" s="157" t="inlineStr">
        <is>
          <t>Derived via mapped controls</t>
        </is>
      </c>
      <c r="I320" s="157" t="inlineStr"/>
      <c r="J320" s="157" t="inlineStr">
        <is>
          <t>Test cases under those controls: 90</t>
        </is>
      </c>
      <c r="K320" s="157" t="inlineStr">
        <is>
          <t>https://nachi065.github.io/AI-Security-Wiki/23_Framework_Crosswalks/08_ISO_IEC_27001_Crosswalk.html</t>
        </is>
      </c>
    </row>
    <row r="321">
      <c r="A321" s="6" t="inlineStr">
        <is>
          <t>ISO/IEC standards</t>
        </is>
      </c>
      <c r="B321" s="6" t="inlineStr">
        <is>
          <t>ISO/IEC 27001:2022 Annex A</t>
        </is>
      </c>
      <c r="C321" s="6" t="inlineStr">
        <is>
          <t>Annex A controls</t>
        </is>
      </c>
      <c r="D321" s="6" t="inlineStr">
        <is>
          <t>A.5.10</t>
        </is>
      </c>
      <c r="E321" s="6" t="inlineStr">
        <is>
          <t>Acceptable use of information and other associated assets</t>
        </is>
      </c>
      <c r="F321" s="6" t="inlineStr">
        <is>
          <t>AI-CTRL-003, AI-CTRL-010, AI-CTRL-012</t>
        </is>
      </c>
      <c r="G321" s="6" t="inlineStr">
        <is>
          <t>AI-R01, AI-R02, AI-R03, AI-R18, AI-R19, AI-R27, AI-R28</t>
        </is>
      </c>
      <c r="H321" s="6" t="inlineStr">
        <is>
          <t>Derived via mapped controls</t>
        </is>
      </c>
      <c r="I321" s="6" t="inlineStr"/>
      <c r="J321" s="6" t="inlineStr">
        <is>
          <t>Test cases under those controls: 40</t>
        </is>
      </c>
      <c r="K321" s="6" t="inlineStr">
        <is>
          <t>https://nachi065.github.io/AI-Security-Wiki/23_Framework_Crosswalks/08_ISO_IEC_27001_Crosswalk.html</t>
        </is>
      </c>
    </row>
    <row r="322">
      <c r="A322" s="157" t="inlineStr">
        <is>
          <t>ISO/IEC standards</t>
        </is>
      </c>
      <c r="B322" s="157" t="inlineStr">
        <is>
          <t>ISO/IEC 27001:2022 Annex A</t>
        </is>
      </c>
      <c r="C322" s="157" t="inlineStr">
        <is>
          <t>Annex A controls</t>
        </is>
      </c>
      <c r="D322" s="157" t="inlineStr">
        <is>
          <t>A.5.11</t>
        </is>
      </c>
      <c r="E322" s="157" t="inlineStr">
        <is>
          <t>Return of assets</t>
        </is>
      </c>
      <c r="F322" s="157" t="inlineStr">
        <is>
          <t>AI-CTRL-014</t>
        </is>
      </c>
      <c r="G322" s="157" t="inlineStr">
        <is>
          <t>AI-R08, AI-R10, AI-R16</t>
        </is>
      </c>
      <c r="H322" s="157" t="inlineStr">
        <is>
          <t>Derived via mapped controls</t>
        </is>
      </c>
      <c r="I322" s="157" t="inlineStr"/>
      <c r="J322" s="157" t="inlineStr">
        <is>
          <t>Test cases under those controls: 26</t>
        </is>
      </c>
      <c r="K322" s="157" t="inlineStr">
        <is>
          <t>https://nachi065.github.io/AI-Security-Wiki/23_Framework_Crosswalks/08_ISO_IEC_27001_Crosswalk.html</t>
        </is>
      </c>
    </row>
    <row r="323">
      <c r="A323" s="6" t="inlineStr">
        <is>
          <t>ISO/IEC standards</t>
        </is>
      </c>
      <c r="B323" s="6" t="inlineStr">
        <is>
          <t>ISO/IEC 27001:2022 Annex A</t>
        </is>
      </c>
      <c r="C323" s="6" t="inlineStr">
        <is>
          <t>Annex A controls</t>
        </is>
      </c>
      <c r="D323" s="6" t="inlineStr">
        <is>
          <t>A.5.12</t>
        </is>
      </c>
      <c r="E323" s="6" t="inlineStr">
        <is>
          <t>Classification of information</t>
        </is>
      </c>
      <c r="F323" s="6" t="inlineStr">
        <is>
          <t>AI-CTRL-002, AI-CTRL-010, AI-CTRL-011, AI-CTRL-017</t>
        </is>
      </c>
      <c r="G323" s="6" t="inlineStr">
        <is>
          <t>AI-R01, AI-R02, AI-R03, AI-R06, AI-R17, AI-R18, AI-R27</t>
        </is>
      </c>
      <c r="H323" s="6" t="inlineStr">
        <is>
          <t>Derived via mapped controls</t>
        </is>
      </c>
      <c r="I323" s="6" t="inlineStr"/>
      <c r="J323" s="6" t="inlineStr">
        <is>
          <t>Test cases under those controls: 100</t>
        </is>
      </c>
      <c r="K323" s="6" t="inlineStr">
        <is>
          <t>https://nachi065.github.io/AI-Security-Wiki/23_Framework_Crosswalks/08_ISO_IEC_27001_Crosswalk.html</t>
        </is>
      </c>
    </row>
    <row r="324">
      <c r="A324" s="157" t="inlineStr">
        <is>
          <t>ISO/IEC standards</t>
        </is>
      </c>
      <c r="B324" s="157" t="inlineStr">
        <is>
          <t>ISO/IEC 27001:2022 Annex A</t>
        </is>
      </c>
      <c r="C324" s="157" t="inlineStr">
        <is>
          <t>Annex A controls</t>
        </is>
      </c>
      <c r="D324" s="157" t="inlineStr">
        <is>
          <t>A.5.13</t>
        </is>
      </c>
      <c r="E324" s="157" t="inlineStr">
        <is>
          <t>Labelling of information</t>
        </is>
      </c>
      <c r="F324" s="157" t="inlineStr">
        <is>
          <t>AI-CTRL-017</t>
        </is>
      </c>
      <c r="G324" s="157" t="inlineStr">
        <is>
          <t>AI-R01, AI-R03, AI-R06, AI-R17</t>
        </is>
      </c>
      <c r="H324" s="157" t="inlineStr">
        <is>
          <t>Derived via mapped controls</t>
        </is>
      </c>
      <c r="I324" s="157" t="inlineStr"/>
      <c r="J324" s="157" t="inlineStr">
        <is>
          <t>Test cases under those controls: 39</t>
        </is>
      </c>
      <c r="K324" s="157" t="inlineStr">
        <is>
          <t>https://nachi065.github.io/AI-Security-Wiki/23_Framework_Crosswalks/08_ISO_IEC_27001_Crosswalk.html</t>
        </is>
      </c>
    </row>
    <row r="325">
      <c r="A325" s="6" t="inlineStr">
        <is>
          <t>ISO/IEC standards</t>
        </is>
      </c>
      <c r="B325" s="6" t="inlineStr">
        <is>
          <t>ISO/IEC 27001:2022 Annex A</t>
        </is>
      </c>
      <c r="C325" s="6" t="inlineStr">
        <is>
          <t>Annex A controls</t>
        </is>
      </c>
      <c r="D325" s="6" t="inlineStr">
        <is>
          <t>A.5.14</t>
        </is>
      </c>
      <c r="E325" s="6" t="inlineStr">
        <is>
          <t>Information transfer</t>
        </is>
      </c>
      <c r="F325" s="6" t="inlineStr">
        <is>
          <t>AI-CTRL-003, AI-CTRL-007</t>
        </is>
      </c>
      <c r="G325" s="6" t="inlineStr">
        <is>
          <t>AI-R01, AI-R03, AI-R10, AI-R27</t>
        </is>
      </c>
      <c r="H325" s="6" t="inlineStr">
        <is>
          <t>Derived via mapped controls</t>
        </is>
      </c>
      <c r="I325" s="6" t="inlineStr"/>
      <c r="J325" s="6" t="inlineStr">
        <is>
          <t>Test cases under those controls: 21</t>
        </is>
      </c>
      <c r="K325" s="6" t="inlineStr">
        <is>
          <t>https://nachi065.github.io/AI-Security-Wiki/23_Framework_Crosswalks/08_ISO_IEC_27001_Crosswalk.html</t>
        </is>
      </c>
    </row>
    <row r="326">
      <c r="A326" s="157" t="inlineStr">
        <is>
          <t>ISO/IEC standards</t>
        </is>
      </c>
      <c r="B326" s="157" t="inlineStr">
        <is>
          <t>ISO/IEC 27001:2022 Annex A</t>
        </is>
      </c>
      <c r="C326" s="157" t="inlineStr">
        <is>
          <t>Annex A controls</t>
        </is>
      </c>
      <c r="D326" s="157" t="inlineStr">
        <is>
          <t>A.5.15</t>
        </is>
      </c>
      <c r="E326" s="157" t="inlineStr">
        <is>
          <t>Access control</t>
        </is>
      </c>
      <c r="F326" s="157" t="inlineStr">
        <is>
          <t>AI-CTRL-006, AI-CTRL-016, AI-CTRL-018, AI-CTRL-022, AI-CTRL-028</t>
        </is>
      </c>
      <c r="G326" s="157" t="inlineStr">
        <is>
          <t>AI-R06, AI-R07, AI-R08, AI-R22, AI-R24, AI-R25</t>
        </is>
      </c>
      <c r="H326" s="157" t="inlineStr">
        <is>
          <t>Derived via mapped controls</t>
        </is>
      </c>
      <c r="I326" s="157" t="inlineStr"/>
      <c r="J326" s="157" t="inlineStr">
        <is>
          <t>Test cases under those controls: 110</t>
        </is>
      </c>
      <c r="K326" s="157" t="inlineStr">
        <is>
          <t>https://nachi065.github.io/AI-Security-Wiki/23_Framework_Crosswalks/08_ISO_IEC_27001_Crosswalk.html</t>
        </is>
      </c>
    </row>
    <row r="327">
      <c r="A327" s="6" t="inlineStr">
        <is>
          <t>ISO/IEC standards</t>
        </is>
      </c>
      <c r="B327" s="6" t="inlineStr">
        <is>
          <t>ISO/IEC 27001:2022 Annex A</t>
        </is>
      </c>
      <c r="C327" s="6" t="inlineStr">
        <is>
          <t>Annex A controls</t>
        </is>
      </c>
      <c r="D327" s="6" t="inlineStr">
        <is>
          <t>A.5.16</t>
        </is>
      </c>
      <c r="E327" s="6" t="inlineStr">
        <is>
          <t>Identity management</t>
        </is>
      </c>
      <c r="F327" s="6" t="inlineStr">
        <is>
          <t>AI-CTRL-015</t>
        </is>
      </c>
      <c r="G327" s="6" t="inlineStr">
        <is>
          <t>AI-R07, AI-R22, AI-R25</t>
        </is>
      </c>
      <c r="H327" s="6" t="inlineStr">
        <is>
          <t>Derived via mapped controls</t>
        </is>
      </c>
      <c r="I327" s="6" t="inlineStr"/>
      <c r="J327" s="6" t="inlineStr">
        <is>
          <t>Test cases under those controls: 45</t>
        </is>
      </c>
      <c r="K327" s="6" t="inlineStr">
        <is>
          <t>https://nachi065.github.io/AI-Security-Wiki/23_Framework_Crosswalks/08_ISO_IEC_27001_Crosswalk.html</t>
        </is>
      </c>
    </row>
    <row r="328">
      <c r="A328" s="157" t="inlineStr">
        <is>
          <t>ISO/IEC standards</t>
        </is>
      </c>
      <c r="B328" s="157" t="inlineStr">
        <is>
          <t>ISO/IEC 27001:2022 Annex A</t>
        </is>
      </c>
      <c r="C328" s="157" t="inlineStr">
        <is>
          <t>Annex A controls</t>
        </is>
      </c>
      <c r="D328" s="157" t="inlineStr">
        <is>
          <t>A.5.17</t>
        </is>
      </c>
      <c r="E328" s="157" t="inlineStr">
        <is>
          <t>Authentication information</t>
        </is>
      </c>
      <c r="F328" s="157" t="inlineStr">
        <is>
          <t>AI-CTRL-015</t>
        </is>
      </c>
      <c r="G328" s="157" t="inlineStr">
        <is>
          <t>AI-R07, AI-R22, AI-R25</t>
        </is>
      </c>
      <c r="H328" s="157" t="inlineStr">
        <is>
          <t>Derived via mapped controls</t>
        </is>
      </c>
      <c r="I328" s="157" t="inlineStr"/>
      <c r="J328" s="157" t="inlineStr">
        <is>
          <t>Test cases under those controls: 45</t>
        </is>
      </c>
      <c r="K328" s="157" t="inlineStr">
        <is>
          <t>https://nachi065.github.io/AI-Security-Wiki/23_Framework_Crosswalks/08_ISO_IEC_27001_Crosswalk.html</t>
        </is>
      </c>
    </row>
    <row r="329">
      <c r="A329" s="6" t="inlineStr">
        <is>
          <t>ISO/IEC standards</t>
        </is>
      </c>
      <c r="B329" s="6" t="inlineStr">
        <is>
          <t>ISO/IEC 27001:2022 Annex A</t>
        </is>
      </c>
      <c r="C329" s="6" t="inlineStr">
        <is>
          <t>Annex A controls</t>
        </is>
      </c>
      <c r="D329" s="6" t="inlineStr">
        <is>
          <t>A.5.18</t>
        </is>
      </c>
      <c r="E329" s="6" t="inlineStr">
        <is>
          <t>Access rights</t>
        </is>
      </c>
      <c r="F329" s="6" t="inlineStr">
        <is>
          <t>AI-CTRL-016, AI-CTRL-025</t>
        </is>
      </c>
      <c r="G329" s="6" t="inlineStr">
        <is>
          <t>AI-R06, AI-R07, AI-R08, AI-R11, AI-R21, AI-R22, AI-R25, AI-R55</t>
        </is>
      </c>
      <c r="H329" s="6" t="inlineStr">
        <is>
          <t>Derived via mapped controls</t>
        </is>
      </c>
      <c r="I329" s="6" t="inlineStr"/>
      <c r="J329" s="6" t="inlineStr">
        <is>
          <t>Test cases under those controls: 66</t>
        </is>
      </c>
      <c r="K329" s="6" t="inlineStr">
        <is>
          <t>https://nachi065.github.io/AI-Security-Wiki/23_Framework_Crosswalks/08_ISO_IEC_27001_Crosswalk.html</t>
        </is>
      </c>
    </row>
    <row r="330">
      <c r="A330" s="157" t="inlineStr">
        <is>
          <t>ISO/IEC standards</t>
        </is>
      </c>
      <c r="B330" s="157" t="inlineStr">
        <is>
          <t>ISO/IEC 27001:2022 Annex A</t>
        </is>
      </c>
      <c r="C330" s="157" t="inlineStr">
        <is>
          <t>Annex A controls</t>
        </is>
      </c>
      <c r="D330" s="157" t="inlineStr">
        <is>
          <t>A.5.19</t>
        </is>
      </c>
      <c r="E330" s="157" t="inlineStr">
        <is>
          <t>Information security in supplier relationships</t>
        </is>
      </c>
      <c r="F330" s="157" t="inlineStr">
        <is>
          <t>AI-CTRL-014, AI-CTRL-024</t>
        </is>
      </c>
      <c r="G330" s="157" t="inlineStr">
        <is>
          <t>AI-R07, AI-R08, AI-R10, AI-R16, AI-R23, AI-R24</t>
        </is>
      </c>
      <c r="H330" s="157" t="inlineStr">
        <is>
          <t>Derived via mapped controls</t>
        </is>
      </c>
      <c r="I330" s="157" t="inlineStr"/>
      <c r="J330" s="157" t="inlineStr">
        <is>
          <t>Test cases under those controls: 41</t>
        </is>
      </c>
      <c r="K330" s="157" t="inlineStr">
        <is>
          <t>https://nachi065.github.io/AI-Security-Wiki/23_Framework_Crosswalks/08_ISO_IEC_27001_Crosswalk.html</t>
        </is>
      </c>
    </row>
    <row r="331">
      <c r="A331" s="6" t="inlineStr">
        <is>
          <t>ISO/IEC standards</t>
        </is>
      </c>
      <c r="B331" s="6" t="inlineStr">
        <is>
          <t>ISO/IEC 27001:2022 Annex A</t>
        </is>
      </c>
      <c r="C331" s="6" t="inlineStr">
        <is>
          <t>Annex A controls</t>
        </is>
      </c>
      <c r="D331" s="6" t="inlineStr">
        <is>
          <t>A.5.20</t>
        </is>
      </c>
      <c r="E331" s="6" t="inlineStr">
        <is>
          <t>Addressing information security within supplier agreements</t>
        </is>
      </c>
      <c r="F331" s="6" t="inlineStr">
        <is>
          <t>AI-CTRL-014, AI-CTRL-046</t>
        </is>
      </c>
      <c r="G331" s="6" t="inlineStr">
        <is>
          <t>AI-R08, AI-R10, AI-R16, AI-R27</t>
        </is>
      </c>
      <c r="H331" s="6" t="inlineStr">
        <is>
          <t>Derived via mapped controls</t>
        </is>
      </c>
      <c r="I331" s="6" t="inlineStr"/>
      <c r="J331" s="6" t="inlineStr">
        <is>
          <t>Test cases under those controls: 30</t>
        </is>
      </c>
      <c r="K331" s="6" t="inlineStr">
        <is>
          <t>https://nachi065.github.io/AI-Security-Wiki/23_Framework_Crosswalks/08_ISO_IEC_27001_Crosswalk.html</t>
        </is>
      </c>
    </row>
    <row r="332">
      <c r="A332" s="157" t="inlineStr">
        <is>
          <t>ISO/IEC standards</t>
        </is>
      </c>
      <c r="B332" s="157" t="inlineStr">
        <is>
          <t>ISO/IEC 27001:2022 Annex A</t>
        </is>
      </c>
      <c r="C332" s="157" t="inlineStr">
        <is>
          <t>Annex A controls</t>
        </is>
      </c>
      <c r="D332" s="157" t="inlineStr">
        <is>
          <t>A.5.21</t>
        </is>
      </c>
      <c r="E332" s="157" t="inlineStr">
        <is>
          <t>Managing information security in the ICT supply chain</t>
        </is>
      </c>
      <c r="F332" s="157" t="inlineStr">
        <is>
          <t>AI-CTRL-014, AI-CTRL-024, AI-CTRL-029, AI-CTRL-031</t>
        </is>
      </c>
      <c r="G332" s="157" t="inlineStr">
        <is>
          <t>AI-R07, AI-R08, AI-R10, AI-R16, AI-R23, AI-R24</t>
        </is>
      </c>
      <c r="H332" s="157" t="inlineStr">
        <is>
          <t>Derived via mapped controls</t>
        </is>
      </c>
      <c r="I332" s="157" t="inlineStr"/>
      <c r="J332" s="157" t="inlineStr">
        <is>
          <t>Test cases under those controls: 81</t>
        </is>
      </c>
      <c r="K332" s="157" t="inlineStr">
        <is>
          <t>https://nachi065.github.io/AI-Security-Wiki/23_Framework_Crosswalks/08_ISO_IEC_27001_Crosswalk.html</t>
        </is>
      </c>
    </row>
    <row r="333">
      <c r="A333" s="6" t="inlineStr">
        <is>
          <t>ISO/IEC standards</t>
        </is>
      </c>
      <c r="B333" s="6" t="inlineStr">
        <is>
          <t>ISO/IEC 27001:2022 Annex A</t>
        </is>
      </c>
      <c r="C333" s="6" t="inlineStr">
        <is>
          <t>Annex A controls</t>
        </is>
      </c>
      <c r="D333" s="6" t="inlineStr">
        <is>
          <t>A.5.22</t>
        </is>
      </c>
      <c r="E333" s="6" t="inlineStr">
        <is>
          <t>Monitoring, review and change management of supplier services</t>
        </is>
      </c>
      <c r="F333" s="6" t="inlineStr">
        <is>
          <t>AI-CTRL-014</t>
        </is>
      </c>
      <c r="G333" s="6" t="inlineStr">
        <is>
          <t>AI-R08, AI-R10, AI-R16</t>
        </is>
      </c>
      <c r="H333" s="6" t="inlineStr">
        <is>
          <t>Derived via mapped controls</t>
        </is>
      </c>
      <c r="I333" s="6" t="inlineStr"/>
      <c r="J333" s="6" t="inlineStr">
        <is>
          <t>Test cases under those controls: 26</t>
        </is>
      </c>
      <c r="K333" s="6" t="inlineStr">
        <is>
          <t>https://nachi065.github.io/AI-Security-Wiki/23_Framework_Crosswalks/08_ISO_IEC_27001_Crosswalk.html</t>
        </is>
      </c>
    </row>
    <row r="334">
      <c r="A334" s="157" t="inlineStr">
        <is>
          <t>ISO/IEC standards</t>
        </is>
      </c>
      <c r="B334" s="157" t="inlineStr">
        <is>
          <t>ISO/IEC 27001:2022 Annex A</t>
        </is>
      </c>
      <c r="C334" s="157" t="inlineStr">
        <is>
          <t>Annex A controls</t>
        </is>
      </c>
      <c r="D334" s="157" t="inlineStr">
        <is>
          <t>A.5.23</t>
        </is>
      </c>
      <c r="E334" s="157" t="inlineStr">
        <is>
          <t>Information security for use of cloud services</t>
        </is>
      </c>
      <c r="F334" s="157" t="inlineStr">
        <is>
          <t>AI-CTRL-007, AI-CTRL-014, AI-CTRL-032</t>
        </is>
      </c>
      <c r="G334" s="157" t="inlineStr">
        <is>
          <t>AI-R08, AI-R10, AI-R16</t>
        </is>
      </c>
      <c r="H334" s="157" t="inlineStr">
        <is>
          <t>Derived via mapped controls</t>
        </is>
      </c>
      <c r="I334" s="157" t="inlineStr"/>
      <c r="J334" s="157" t="inlineStr">
        <is>
          <t>Test cases under those controls: 64</t>
        </is>
      </c>
      <c r="K334" s="157" t="inlineStr">
        <is>
          <t>https://nachi065.github.io/AI-Security-Wiki/23_Framework_Crosswalks/08_ISO_IEC_27001_Crosswalk.html</t>
        </is>
      </c>
    </row>
    <row r="335">
      <c r="A335" s="6" t="inlineStr">
        <is>
          <t>ISO/IEC standards</t>
        </is>
      </c>
      <c r="B335" s="6" t="inlineStr">
        <is>
          <t>ISO/IEC 27001:2022 Annex A</t>
        </is>
      </c>
      <c r="C335" s="6" t="inlineStr">
        <is>
          <t>Annex A controls</t>
        </is>
      </c>
      <c r="D335" s="6" t="inlineStr">
        <is>
          <t>A.5.24</t>
        </is>
      </c>
      <c r="E335" s="6" t="inlineStr">
        <is>
          <t>Information security incident management planning and preparation</t>
        </is>
      </c>
      <c r="F335" s="6" t="inlineStr">
        <is>
          <t>AI-CTRL-035</t>
        </is>
      </c>
      <c r="G335" s="6" t="inlineStr">
        <is>
          <t>AI-R09, AI-R20</t>
        </is>
      </c>
      <c r="H335" s="6" t="inlineStr">
        <is>
          <t>Derived via mapped controls</t>
        </is>
      </c>
      <c r="I335" s="6" t="inlineStr"/>
      <c r="J335" s="6" t="inlineStr">
        <is>
          <t>Test cases under those controls: 40</t>
        </is>
      </c>
      <c r="K335" s="6" t="inlineStr">
        <is>
          <t>https://nachi065.github.io/AI-Security-Wiki/23_Framework_Crosswalks/08_ISO_IEC_27001_Crosswalk.html</t>
        </is>
      </c>
    </row>
    <row r="336">
      <c r="A336" s="157" t="inlineStr">
        <is>
          <t>ISO/IEC standards</t>
        </is>
      </c>
      <c r="B336" s="157" t="inlineStr">
        <is>
          <t>ISO/IEC 27001:2022 Annex A</t>
        </is>
      </c>
      <c r="C336" s="157" t="inlineStr">
        <is>
          <t>Annex A controls</t>
        </is>
      </c>
      <c r="D336" s="157" t="inlineStr">
        <is>
          <t>A.5.25</t>
        </is>
      </c>
      <c r="E336" s="157" t="inlineStr">
        <is>
          <t>Assessment and decision on information security events</t>
        </is>
      </c>
      <c r="F336" s="157" t="inlineStr">
        <is>
          <t>AI-CTRL-009, AI-CTRL-035</t>
        </is>
      </c>
      <c r="G336" s="157" t="inlineStr">
        <is>
          <t>AI-R09, AI-R20</t>
        </is>
      </c>
      <c r="H336" s="157" t="inlineStr">
        <is>
          <t>Derived via mapped controls</t>
        </is>
      </c>
      <c r="I336" s="157" t="inlineStr"/>
      <c r="J336" s="157" t="inlineStr">
        <is>
          <t>Test cases under those controls: 60</t>
        </is>
      </c>
      <c r="K336" s="157" t="inlineStr">
        <is>
          <t>https://nachi065.github.io/AI-Security-Wiki/23_Framework_Crosswalks/08_ISO_IEC_27001_Crosswalk.html</t>
        </is>
      </c>
    </row>
    <row r="337">
      <c r="A337" s="6" t="inlineStr">
        <is>
          <t>ISO/IEC standards</t>
        </is>
      </c>
      <c r="B337" s="6" t="inlineStr">
        <is>
          <t>ISO/IEC 27001:2022 Annex A</t>
        </is>
      </c>
      <c r="C337" s="6" t="inlineStr">
        <is>
          <t>Annex A controls</t>
        </is>
      </c>
      <c r="D337" s="6" t="inlineStr">
        <is>
          <t>A.5.26</t>
        </is>
      </c>
      <c r="E337" s="6" t="inlineStr">
        <is>
          <t>Response to information security incidents</t>
        </is>
      </c>
      <c r="F337" s="6" t="inlineStr">
        <is>
          <t>AI-CTRL-025, AI-CTRL-035</t>
        </is>
      </c>
      <c r="G337" s="6" t="inlineStr">
        <is>
          <t>AI-R07, AI-R09, AI-R11, AI-R20, AI-R21, AI-R25, AI-R55</t>
        </is>
      </c>
      <c r="H337" s="6" t="inlineStr">
        <is>
          <t>Derived via mapped controls</t>
        </is>
      </c>
      <c r="I337" s="6" t="inlineStr"/>
      <c r="J337" s="6" t="inlineStr">
        <is>
          <t>Test cases under those controls: 51</t>
        </is>
      </c>
      <c r="K337" s="6" t="inlineStr">
        <is>
          <t>https://nachi065.github.io/AI-Security-Wiki/23_Framework_Crosswalks/08_ISO_IEC_27001_Crosswalk.html</t>
        </is>
      </c>
    </row>
    <row r="338">
      <c r="A338" s="157" t="inlineStr">
        <is>
          <t>ISO/IEC standards</t>
        </is>
      </c>
      <c r="B338" s="157" t="inlineStr">
        <is>
          <t>ISO/IEC 27001:2022 Annex A</t>
        </is>
      </c>
      <c r="C338" s="157" t="inlineStr">
        <is>
          <t>Annex A controls</t>
        </is>
      </c>
      <c r="D338" s="157" t="inlineStr">
        <is>
          <t>A.5.27</t>
        </is>
      </c>
      <c r="E338" s="157" t="inlineStr">
        <is>
          <t>Learning from information security incidents</t>
        </is>
      </c>
      <c r="F338" s="157" t="inlineStr">
        <is>
          <t>AI-CTRL-035</t>
        </is>
      </c>
      <c r="G338" s="157" t="inlineStr">
        <is>
          <t>AI-R09, AI-R20</t>
        </is>
      </c>
      <c r="H338" s="157" t="inlineStr">
        <is>
          <t>Derived via mapped controls</t>
        </is>
      </c>
      <c r="I338" s="157" t="inlineStr"/>
      <c r="J338" s="157" t="inlineStr">
        <is>
          <t>Test cases under those controls: 40</t>
        </is>
      </c>
      <c r="K338" s="157" t="inlineStr">
        <is>
          <t>https://nachi065.github.io/AI-Security-Wiki/23_Framework_Crosswalks/08_ISO_IEC_27001_Crosswalk.html</t>
        </is>
      </c>
    </row>
    <row r="339">
      <c r="A339" s="6" t="inlineStr">
        <is>
          <t>ISO/IEC standards</t>
        </is>
      </c>
      <c r="B339" s="6" t="inlineStr">
        <is>
          <t>ISO/IEC 27001:2022 Annex A</t>
        </is>
      </c>
      <c r="C339" s="6" t="inlineStr">
        <is>
          <t>Annex A controls</t>
        </is>
      </c>
      <c r="D339" s="6" t="inlineStr">
        <is>
          <t>A.5.28</t>
        </is>
      </c>
      <c r="E339" s="6" t="inlineStr">
        <is>
          <t>Collection of evidence</t>
        </is>
      </c>
      <c r="F339" s="6" t="inlineStr">
        <is>
          <t>AI-CTRL-008, AI-CTRL-035</t>
        </is>
      </c>
      <c r="G339" s="6" t="inlineStr">
        <is>
          <t>AI-R09, AI-R15, AI-R20, AI-R26</t>
        </is>
      </c>
      <c r="H339" s="6" t="inlineStr">
        <is>
          <t>Derived via mapped controls</t>
        </is>
      </c>
      <c r="I339" s="6" t="inlineStr"/>
      <c r="J339" s="6" t="inlineStr">
        <is>
          <t>Test cases under those controls: 61</t>
        </is>
      </c>
      <c r="K339" s="6" t="inlineStr">
        <is>
          <t>https://nachi065.github.io/AI-Security-Wiki/23_Framework_Crosswalks/08_ISO_IEC_27001_Crosswalk.html</t>
        </is>
      </c>
    </row>
    <row r="340">
      <c r="A340" s="157" t="inlineStr">
        <is>
          <t>ISO/IEC standards</t>
        </is>
      </c>
      <c r="B340" s="157" t="inlineStr">
        <is>
          <t>ISO/IEC 27001:2022 Annex A</t>
        </is>
      </c>
      <c r="C340" s="157" t="inlineStr">
        <is>
          <t>Annex A controls</t>
        </is>
      </c>
      <c r="D340" s="157" t="inlineStr">
        <is>
          <t>A.5.29</t>
        </is>
      </c>
      <c r="E340" s="157" t="inlineStr">
        <is>
          <t>Information security during disruption</t>
        </is>
      </c>
      <c r="F340" s="157" t="inlineStr">
        <is>
          <t>AI-CTRL-040</t>
        </is>
      </c>
      <c r="G340" s="157" t="inlineStr">
        <is>
          <t>AI-R13, AI-R16</t>
        </is>
      </c>
      <c r="H340" s="157" t="inlineStr">
        <is>
          <t>Derived via mapped controls</t>
        </is>
      </c>
      <c r="I340" s="157" t="inlineStr"/>
      <c r="J340" s="157" t="inlineStr">
        <is>
          <t>Test cases under those controls: 14</t>
        </is>
      </c>
      <c r="K340" s="157" t="inlineStr">
        <is>
          <t>https://nachi065.github.io/AI-Security-Wiki/23_Framework_Crosswalks/08_ISO_IEC_27001_Crosswalk.html</t>
        </is>
      </c>
    </row>
    <row r="341">
      <c r="A341" s="6" t="inlineStr">
        <is>
          <t>ISO/IEC standards</t>
        </is>
      </c>
      <c r="B341" s="6" t="inlineStr">
        <is>
          <t>ISO/IEC 27001:2022 Annex A</t>
        </is>
      </c>
      <c r="C341" s="6" t="inlineStr">
        <is>
          <t>Annex A controls</t>
        </is>
      </c>
      <c r="D341" s="6" t="inlineStr">
        <is>
          <t>A.5.30</t>
        </is>
      </c>
      <c r="E341" s="6" t="inlineStr">
        <is>
          <t>ICT readiness for business continuity</t>
        </is>
      </c>
      <c r="F341" s="6" t="inlineStr">
        <is>
          <t>AI-CTRL-040</t>
        </is>
      </c>
      <c r="G341" s="6" t="inlineStr">
        <is>
          <t>AI-R13, AI-R16</t>
        </is>
      </c>
      <c r="H341" s="6" t="inlineStr">
        <is>
          <t>Derived via mapped controls</t>
        </is>
      </c>
      <c r="I341" s="6" t="inlineStr"/>
      <c r="J341" s="6" t="inlineStr">
        <is>
          <t>Test cases under those controls: 14</t>
        </is>
      </c>
      <c r="K341" s="6" t="inlineStr">
        <is>
          <t>https://nachi065.github.io/AI-Security-Wiki/23_Framework_Crosswalks/08_ISO_IEC_27001_Crosswalk.html</t>
        </is>
      </c>
    </row>
    <row r="342">
      <c r="A342" s="157" t="inlineStr">
        <is>
          <t>ISO/IEC standards</t>
        </is>
      </c>
      <c r="B342" s="157" t="inlineStr">
        <is>
          <t>ISO/IEC 27001:2022 Annex A</t>
        </is>
      </c>
      <c r="C342" s="157" t="inlineStr">
        <is>
          <t>Annex A controls</t>
        </is>
      </c>
      <c r="D342" s="157" t="inlineStr">
        <is>
          <t>A.5.31</t>
        </is>
      </c>
      <c r="E342" s="157" t="inlineStr">
        <is>
          <t>Legal, statutory, regulatory and contractual requirements</t>
        </is>
      </c>
      <c r="F342" s="157" t="inlineStr">
        <is>
          <t>AI-CTRL-007, AI-CTRL-013, AI-CTRL-042, AI-CTRL-043, AI-CTRL-046</t>
        </is>
      </c>
      <c r="G342" s="157" t="inlineStr">
        <is>
          <t>AI-R03, AI-R09, AI-R10, AI-R12, AI-R27, AI-R28</t>
        </is>
      </c>
      <c r="H342" s="157" t="inlineStr">
        <is>
          <t>Derived via mapped controls</t>
        </is>
      </c>
      <c r="I342" s="157" t="inlineStr"/>
      <c r="J342" s="157" t="inlineStr">
        <is>
          <t>Test cases under those controls: 61</t>
        </is>
      </c>
      <c r="K342" s="157" t="inlineStr">
        <is>
          <t>https://nachi065.github.io/AI-Security-Wiki/23_Framework_Crosswalks/08_ISO_IEC_27001_Crosswalk.html</t>
        </is>
      </c>
    </row>
    <row r="343">
      <c r="A343" s="6" t="inlineStr">
        <is>
          <t>ISO/IEC standards</t>
        </is>
      </c>
      <c r="B343" s="6" t="inlineStr">
        <is>
          <t>ISO/IEC 27001:2022 Annex A</t>
        </is>
      </c>
      <c r="C343" s="6" t="inlineStr">
        <is>
          <t>Annex A controls</t>
        </is>
      </c>
      <c r="D343" s="6" t="inlineStr">
        <is>
          <t>A.5.32</t>
        </is>
      </c>
      <c r="E343" s="6" t="inlineStr">
        <is>
          <t>Intellectual property rights</t>
        </is>
      </c>
      <c r="F343" s="6" t="inlineStr">
        <is>
          <t>AI-CTRL-046</t>
        </is>
      </c>
      <c r="G343" s="6" t="inlineStr">
        <is>
          <t>AI-R27</t>
        </is>
      </c>
      <c r="H343" s="6" t="inlineStr">
        <is>
          <t>Derived via mapped controls</t>
        </is>
      </c>
      <c r="I343" s="6" t="inlineStr"/>
      <c r="J343" s="6" t="inlineStr">
        <is>
          <t>Test cases under those controls: 4</t>
        </is>
      </c>
      <c r="K343" s="6" t="inlineStr">
        <is>
          <t>https://nachi065.github.io/AI-Security-Wiki/23_Framework_Crosswalks/08_ISO_IEC_27001_Crosswalk.html</t>
        </is>
      </c>
    </row>
    <row r="344">
      <c r="A344" s="157" t="inlineStr">
        <is>
          <t>ISO/IEC standards</t>
        </is>
      </c>
      <c r="B344" s="157" t="inlineStr">
        <is>
          <t>ISO/IEC 27001:2022 Annex A</t>
        </is>
      </c>
      <c r="C344" s="157" t="inlineStr">
        <is>
          <t>Annex A controls</t>
        </is>
      </c>
      <c r="D344" s="157" t="inlineStr">
        <is>
          <t>A.5.33</t>
        </is>
      </c>
      <c r="E344" s="157" t="inlineStr">
        <is>
          <t>Protection of records</t>
        </is>
      </c>
      <c r="F344" s="157" t="inlineStr">
        <is>
          <t>AI-CTRL-007, AI-CTRL-008, AI-CTRL-038</t>
        </is>
      </c>
      <c r="G344" s="157" t="inlineStr">
        <is>
          <t>AI-R09, AI-R10, AI-R15, AI-R26, AI-R28</t>
        </is>
      </c>
      <c r="H344" s="157" t="inlineStr">
        <is>
          <t>Derived via mapped controls</t>
        </is>
      </c>
      <c r="I344" s="157" t="inlineStr"/>
      <c r="J344" s="157" t="inlineStr">
        <is>
          <t>Test cases under those controls: 54</t>
        </is>
      </c>
      <c r="K344" s="157" t="inlineStr">
        <is>
          <t>https://nachi065.github.io/AI-Security-Wiki/23_Framework_Crosswalks/08_ISO_IEC_27001_Crosswalk.html</t>
        </is>
      </c>
    </row>
    <row r="345">
      <c r="A345" s="6" t="inlineStr">
        <is>
          <t>ISO/IEC standards</t>
        </is>
      </c>
      <c r="B345" s="6" t="inlineStr">
        <is>
          <t>ISO/IEC 27001:2022 Annex A</t>
        </is>
      </c>
      <c r="C345" s="6" t="inlineStr">
        <is>
          <t>Annex A controls</t>
        </is>
      </c>
      <c r="D345" s="6" t="inlineStr">
        <is>
          <t>A.5.34</t>
        </is>
      </c>
      <c r="E345" s="6" t="inlineStr">
        <is>
          <t>Privacy and protection of PII</t>
        </is>
      </c>
      <c r="F345" s="6" t="inlineStr">
        <is>
          <t>AI-CTRL-013, AI-CTRL-042</t>
        </is>
      </c>
      <c r="G345" s="6" t="inlineStr">
        <is>
          <t>AI-R03, AI-R10, AI-R12, AI-R27, AI-R28</t>
        </is>
      </c>
      <c r="H345" s="6" t="inlineStr">
        <is>
          <t>Derived via mapped controls</t>
        </is>
      </c>
      <c r="I345" s="6" t="inlineStr"/>
      <c r="J345" s="6" t="inlineStr">
        <is>
          <t>Test cases under those controls: 43</t>
        </is>
      </c>
      <c r="K345" s="6" t="inlineStr">
        <is>
          <t>https://nachi065.github.io/AI-Security-Wiki/23_Framework_Crosswalks/08_ISO_IEC_27001_Crosswalk.html</t>
        </is>
      </c>
    </row>
    <row r="346">
      <c r="A346" s="157" t="inlineStr">
        <is>
          <t>ISO/IEC standards</t>
        </is>
      </c>
      <c r="B346" s="157" t="inlineStr">
        <is>
          <t>ISO/IEC 27001:2022 Annex A</t>
        </is>
      </c>
      <c r="C346" s="157" t="inlineStr">
        <is>
          <t>Annex A controls</t>
        </is>
      </c>
      <c r="D346" s="157" t="inlineStr">
        <is>
          <t>A.5.35</t>
        </is>
      </c>
      <c r="E346" s="157" t="inlineStr">
        <is>
          <t>Independent review of information security</t>
        </is>
      </c>
      <c r="F346" s="157" t="inlineStr">
        <is>
          <t>AI-CTRL-038</t>
        </is>
      </c>
      <c r="G346" s="157" t="inlineStr">
        <is>
          <t>AI-R09, AI-R15, AI-R28</t>
        </is>
      </c>
      <c r="H346" s="157" t="inlineStr">
        <is>
          <t>Derived via mapped controls</t>
        </is>
      </c>
      <c r="I346" s="157" t="inlineStr"/>
      <c r="J346" s="157" t="inlineStr">
        <is>
          <t>Test cases under those controls: 17</t>
        </is>
      </c>
      <c r="K346" s="157" t="inlineStr">
        <is>
          <t>https://nachi065.github.io/AI-Security-Wiki/23_Framework_Crosswalks/08_ISO_IEC_27001_Crosswalk.html</t>
        </is>
      </c>
    </row>
    <row r="347">
      <c r="A347" s="6" t="inlineStr">
        <is>
          <t>ISO/IEC standards</t>
        </is>
      </c>
      <c r="B347" s="6" t="inlineStr">
        <is>
          <t>ISO/IEC 27001:2022 Annex A</t>
        </is>
      </c>
      <c r="C347" s="6" t="inlineStr">
        <is>
          <t>Annex A controls</t>
        </is>
      </c>
      <c r="D347" s="6" t="inlineStr">
        <is>
          <t>A.5.36</t>
        </is>
      </c>
      <c r="E347" s="6" t="inlineStr">
        <is>
          <t>Compliance with policies, rules and standards for information security</t>
        </is>
      </c>
      <c r="F347" s="6" t="inlineStr">
        <is>
          <t>AI-CTRL-038</t>
        </is>
      </c>
      <c r="G347" s="6" t="inlineStr">
        <is>
          <t>AI-R09, AI-R15, AI-R28</t>
        </is>
      </c>
      <c r="H347" s="6" t="inlineStr">
        <is>
          <t>Derived via mapped controls</t>
        </is>
      </c>
      <c r="I347" s="6" t="inlineStr"/>
      <c r="J347" s="6" t="inlineStr">
        <is>
          <t>Test cases under those controls: 17</t>
        </is>
      </c>
      <c r="K347" s="6" t="inlineStr">
        <is>
          <t>https://nachi065.github.io/AI-Security-Wiki/23_Framework_Crosswalks/08_ISO_IEC_27001_Crosswalk.html</t>
        </is>
      </c>
    </row>
    <row r="348">
      <c r="A348" s="157" t="inlineStr">
        <is>
          <t>ISO/IEC standards</t>
        </is>
      </c>
      <c r="B348" s="157" t="inlineStr">
        <is>
          <t>ISO/IEC 27001:2022 Annex A</t>
        </is>
      </c>
      <c r="C348" s="157" t="inlineStr">
        <is>
          <t>Annex A controls</t>
        </is>
      </c>
      <c r="D348" s="157" t="inlineStr">
        <is>
          <t>A.5.37</t>
        </is>
      </c>
      <c r="E348" s="157" t="inlineStr">
        <is>
          <t>Documented operating procedures</t>
        </is>
      </c>
      <c r="F348" s="157" t="inlineStr">
        <is>
          <t>AI-CTRL-009, AI-CTRL-035</t>
        </is>
      </c>
      <c r="G348" s="157" t="inlineStr">
        <is>
          <t>AI-R09, AI-R20</t>
        </is>
      </c>
      <c r="H348" s="157" t="inlineStr">
        <is>
          <t>Derived via mapped controls</t>
        </is>
      </c>
      <c r="I348" s="157" t="inlineStr"/>
      <c r="J348" s="157" t="inlineStr">
        <is>
          <t>Test cases under those controls: 60</t>
        </is>
      </c>
      <c r="K348" s="157" t="inlineStr">
        <is>
          <t>https://nachi065.github.io/AI-Security-Wiki/23_Framework_Crosswalks/08_ISO_IEC_27001_Crosswalk.html</t>
        </is>
      </c>
    </row>
    <row r="349">
      <c r="A349" s="6" t="inlineStr">
        <is>
          <t>ISO/IEC standards</t>
        </is>
      </c>
      <c r="B349" s="6" t="inlineStr">
        <is>
          <t>ISO/IEC 27001:2022 Annex A</t>
        </is>
      </c>
      <c r="C349" s="6" t="inlineStr">
        <is>
          <t>Annex A controls</t>
        </is>
      </c>
      <c r="D349" s="6" t="inlineStr">
        <is>
          <t>A.6.1</t>
        </is>
      </c>
      <c r="E349" s="6" t="inlineStr"/>
      <c r="F349" s="6" t="inlineStr">
        <is>
          <t>None</t>
        </is>
      </c>
      <c r="G349" s="6" t="inlineStr">
        <is>
          <t>None</t>
        </is>
      </c>
      <c r="H349" s="6" t="inlineStr">
        <is>
          <t>Derived via mapped controls</t>
        </is>
      </c>
      <c r="I349" s="6" t="inlineStr"/>
      <c r="J349" s="6" t="inlineStr">
        <is>
          <t>Wiki controls: None; Test cases under those controls: 0</t>
        </is>
      </c>
      <c r="K349" s="6" t="inlineStr">
        <is>
          <t>https://nachi065.github.io/AI-Security-Wiki/23_Framework_Crosswalks/08_ISO_IEC_27001_Crosswalk.html</t>
        </is>
      </c>
    </row>
    <row r="350">
      <c r="A350" s="157" t="inlineStr">
        <is>
          <t>ISO/IEC standards</t>
        </is>
      </c>
      <c r="B350" s="157" t="inlineStr">
        <is>
          <t>ISO/IEC 27001:2022 Annex A</t>
        </is>
      </c>
      <c r="C350" s="157" t="inlineStr">
        <is>
          <t>Annex A controls</t>
        </is>
      </c>
      <c r="D350" s="157" t="inlineStr">
        <is>
          <t>A.6.2</t>
        </is>
      </c>
      <c r="E350" s="157" t="inlineStr">
        <is>
          <t>Terms and conditions of employment</t>
        </is>
      </c>
      <c r="F350" s="157" t="inlineStr">
        <is>
          <t>AI-CTRL-012</t>
        </is>
      </c>
      <c r="G350" s="157" t="inlineStr">
        <is>
          <t>AI-R02, AI-R03, AI-R18, AI-R19, AI-R27, AI-R28</t>
        </is>
      </c>
      <c r="H350" s="157" t="inlineStr">
        <is>
          <t>Derived via mapped controls</t>
        </is>
      </c>
      <c r="I350" s="157" t="inlineStr"/>
      <c r="J350" s="157" t="inlineStr">
        <is>
          <t>Test cases under those controls: 8</t>
        </is>
      </c>
      <c r="K350" s="157" t="inlineStr">
        <is>
          <t>https://nachi065.github.io/AI-Security-Wiki/23_Framework_Crosswalks/08_ISO_IEC_27001_Crosswalk.html</t>
        </is>
      </c>
    </row>
    <row r="351">
      <c r="A351" s="6" t="inlineStr">
        <is>
          <t>ISO/IEC standards</t>
        </is>
      </c>
      <c r="B351" s="6" t="inlineStr">
        <is>
          <t>ISO/IEC 27001:2022 Annex A</t>
        </is>
      </c>
      <c r="C351" s="6" t="inlineStr">
        <is>
          <t>Annex A controls</t>
        </is>
      </c>
      <c r="D351" s="6" t="inlineStr">
        <is>
          <t>A.6.3</t>
        </is>
      </c>
      <c r="E351" s="6" t="inlineStr">
        <is>
          <t>Information security awareness, education and training</t>
        </is>
      </c>
      <c r="F351" s="6" t="inlineStr">
        <is>
          <t>AI-CTRL-044</t>
        </is>
      </c>
      <c r="G351" s="6" t="inlineStr">
        <is>
          <t>AI-R02, AI-R19</t>
        </is>
      </c>
      <c r="H351" s="6" t="inlineStr">
        <is>
          <t>Derived via mapped controls</t>
        </is>
      </c>
      <c r="I351" s="6" t="inlineStr"/>
      <c r="J351" s="6" t="inlineStr">
        <is>
          <t>Test cases under those controls: 3</t>
        </is>
      </c>
      <c r="K351" s="6" t="inlineStr">
        <is>
          <t>https://nachi065.github.io/AI-Security-Wiki/23_Framework_Crosswalks/08_ISO_IEC_27001_Crosswalk.html</t>
        </is>
      </c>
    </row>
    <row r="352">
      <c r="A352" s="157" t="inlineStr">
        <is>
          <t>ISO/IEC standards</t>
        </is>
      </c>
      <c r="B352" s="157" t="inlineStr">
        <is>
          <t>ISO/IEC 27001:2022 Annex A</t>
        </is>
      </c>
      <c r="C352" s="157" t="inlineStr">
        <is>
          <t>Annex A controls</t>
        </is>
      </c>
      <c r="D352" s="157" t="inlineStr">
        <is>
          <t>A.6.4</t>
        </is>
      </c>
      <c r="E352" s="157" t="inlineStr">
        <is>
          <t>Disciplinary process</t>
        </is>
      </c>
      <c r="F352" s="157" t="inlineStr">
        <is>
          <t>AI-CTRL-012</t>
        </is>
      </c>
      <c r="G352" s="157" t="inlineStr">
        <is>
          <t>AI-R02, AI-R03, AI-R18, AI-R19, AI-R27, AI-R28</t>
        </is>
      </c>
      <c r="H352" s="157" t="inlineStr">
        <is>
          <t>Derived via mapped controls</t>
        </is>
      </c>
      <c r="I352" s="157" t="inlineStr"/>
      <c r="J352" s="157" t="inlineStr">
        <is>
          <t>Test cases under those controls: 8</t>
        </is>
      </c>
      <c r="K352" s="157" t="inlineStr">
        <is>
          <t>https://nachi065.github.io/AI-Security-Wiki/23_Framework_Crosswalks/08_ISO_IEC_27001_Crosswalk.html</t>
        </is>
      </c>
    </row>
    <row r="353">
      <c r="A353" s="6" t="inlineStr">
        <is>
          <t>ISO/IEC standards</t>
        </is>
      </c>
      <c r="B353" s="6" t="inlineStr">
        <is>
          <t>ISO/IEC 27001:2022 Annex A</t>
        </is>
      </c>
      <c r="C353" s="6" t="inlineStr">
        <is>
          <t>Annex A controls</t>
        </is>
      </c>
      <c r="D353" s="6" t="inlineStr">
        <is>
          <t>A.6.5</t>
        </is>
      </c>
      <c r="E353" s="6" t="inlineStr"/>
      <c r="F353" s="6" t="inlineStr">
        <is>
          <t>None</t>
        </is>
      </c>
      <c r="G353" s="6" t="inlineStr">
        <is>
          <t>None</t>
        </is>
      </c>
      <c r="H353" s="6" t="inlineStr">
        <is>
          <t>Derived via mapped controls</t>
        </is>
      </c>
      <c r="I353" s="6" t="inlineStr"/>
      <c r="J353" s="6" t="inlineStr">
        <is>
          <t>Wiki controls: None; Test cases under those controls: 0</t>
        </is>
      </c>
      <c r="K353" s="6" t="inlineStr">
        <is>
          <t>https://nachi065.github.io/AI-Security-Wiki/23_Framework_Crosswalks/08_ISO_IEC_27001_Crosswalk.html</t>
        </is>
      </c>
    </row>
    <row r="354">
      <c r="A354" s="157" t="inlineStr">
        <is>
          <t>ISO/IEC standards</t>
        </is>
      </c>
      <c r="B354" s="157" t="inlineStr">
        <is>
          <t>ISO/IEC 27001:2022 Annex A</t>
        </is>
      </c>
      <c r="C354" s="157" t="inlineStr">
        <is>
          <t>Annex A controls</t>
        </is>
      </c>
      <c r="D354" s="157" t="inlineStr">
        <is>
          <t>A.6.6</t>
        </is>
      </c>
      <c r="E354" s="157" t="inlineStr"/>
      <c r="F354" s="157" t="inlineStr">
        <is>
          <t>None</t>
        </is>
      </c>
      <c r="G354" s="157" t="inlineStr">
        <is>
          <t>None</t>
        </is>
      </c>
      <c r="H354" s="157" t="inlineStr">
        <is>
          <t>Derived via mapped controls</t>
        </is>
      </c>
      <c r="I354" s="157" t="inlineStr"/>
      <c r="J354" s="157" t="inlineStr">
        <is>
          <t>Wiki controls: None; Test cases under those controls: 0</t>
        </is>
      </c>
      <c r="K354" s="157" t="inlineStr">
        <is>
          <t>https://nachi065.github.io/AI-Security-Wiki/23_Framework_Crosswalks/08_ISO_IEC_27001_Crosswalk.html</t>
        </is>
      </c>
    </row>
    <row r="355">
      <c r="A355" s="6" t="inlineStr">
        <is>
          <t>ISO/IEC standards</t>
        </is>
      </c>
      <c r="B355" s="6" t="inlineStr">
        <is>
          <t>ISO/IEC 27001:2022 Annex A</t>
        </is>
      </c>
      <c r="C355" s="6" t="inlineStr">
        <is>
          <t>Annex A controls</t>
        </is>
      </c>
      <c r="D355" s="6" t="inlineStr">
        <is>
          <t>A.6.7</t>
        </is>
      </c>
      <c r="E355" s="6" t="inlineStr"/>
      <c r="F355" s="6" t="inlineStr">
        <is>
          <t>None</t>
        </is>
      </c>
      <c r="G355" s="6" t="inlineStr">
        <is>
          <t>None</t>
        </is>
      </c>
      <c r="H355" s="6" t="inlineStr">
        <is>
          <t>Derived via mapped controls</t>
        </is>
      </c>
      <c r="I355" s="6" t="inlineStr"/>
      <c r="J355" s="6" t="inlineStr">
        <is>
          <t>Wiki controls: None; Test cases under those controls: 0</t>
        </is>
      </c>
      <c r="K355" s="6" t="inlineStr">
        <is>
          <t>https://nachi065.github.io/AI-Security-Wiki/23_Framework_Crosswalks/08_ISO_IEC_27001_Crosswalk.html</t>
        </is>
      </c>
    </row>
    <row r="356">
      <c r="A356" s="157" t="inlineStr">
        <is>
          <t>ISO/IEC standards</t>
        </is>
      </c>
      <c r="B356" s="157" t="inlineStr">
        <is>
          <t>ISO/IEC 27001:2022 Annex A</t>
        </is>
      </c>
      <c r="C356" s="157" t="inlineStr">
        <is>
          <t>Annex A controls</t>
        </is>
      </c>
      <c r="D356" s="157" t="inlineStr">
        <is>
          <t>A.6.8</t>
        </is>
      </c>
      <c r="E356" s="157" t="inlineStr">
        <is>
          <t>Information security event reporting</t>
        </is>
      </c>
      <c r="F356" s="157" t="inlineStr">
        <is>
          <t>AI-CTRL-035</t>
        </is>
      </c>
      <c r="G356" s="157" t="inlineStr">
        <is>
          <t>AI-R09, AI-R20</t>
        </is>
      </c>
      <c r="H356" s="157" t="inlineStr">
        <is>
          <t>Derived via mapped controls</t>
        </is>
      </c>
      <c r="I356" s="157" t="inlineStr"/>
      <c r="J356" s="157" t="inlineStr">
        <is>
          <t>Test cases under those controls: 40</t>
        </is>
      </c>
      <c r="K356" s="157" t="inlineStr">
        <is>
          <t>https://nachi065.github.io/AI-Security-Wiki/23_Framework_Crosswalks/08_ISO_IEC_27001_Crosswalk.html</t>
        </is>
      </c>
    </row>
    <row r="357">
      <c r="A357" s="6" t="inlineStr">
        <is>
          <t>ISO/IEC standards</t>
        </is>
      </c>
      <c r="B357" s="6" t="inlineStr">
        <is>
          <t>ISO/IEC 27001:2022 Annex A</t>
        </is>
      </c>
      <c r="C357" s="6" t="inlineStr">
        <is>
          <t>Annex A controls</t>
        </is>
      </c>
      <c r="D357" s="6" t="inlineStr">
        <is>
          <t>A.7.1</t>
        </is>
      </c>
      <c r="E357" s="6" t="inlineStr"/>
      <c r="F357" s="6" t="inlineStr">
        <is>
          <t>None</t>
        </is>
      </c>
      <c r="G357" s="6" t="inlineStr">
        <is>
          <t>None</t>
        </is>
      </c>
      <c r="H357" s="6" t="inlineStr">
        <is>
          <t>Derived via mapped controls</t>
        </is>
      </c>
      <c r="I357" s="6" t="inlineStr"/>
      <c r="J357" s="6" t="inlineStr">
        <is>
          <t>Wiki controls: None; Test cases under those controls: 0</t>
        </is>
      </c>
      <c r="K357" s="6" t="inlineStr">
        <is>
          <t>https://nachi065.github.io/AI-Security-Wiki/23_Framework_Crosswalks/08_ISO_IEC_27001_Crosswalk.html</t>
        </is>
      </c>
    </row>
    <row r="358">
      <c r="A358" s="157" t="inlineStr">
        <is>
          <t>ISO/IEC standards</t>
        </is>
      </c>
      <c r="B358" s="157" t="inlineStr">
        <is>
          <t>ISO/IEC 27001:2022 Annex A</t>
        </is>
      </c>
      <c r="C358" s="157" t="inlineStr">
        <is>
          <t>Annex A controls</t>
        </is>
      </c>
      <c r="D358" s="157" t="inlineStr">
        <is>
          <t>A.7.2</t>
        </is>
      </c>
      <c r="E358" s="157" t="inlineStr"/>
      <c r="F358" s="157" t="inlineStr">
        <is>
          <t>None</t>
        </is>
      </c>
      <c r="G358" s="157" t="inlineStr">
        <is>
          <t>None</t>
        </is>
      </c>
      <c r="H358" s="157" t="inlineStr">
        <is>
          <t>Derived via mapped controls</t>
        </is>
      </c>
      <c r="I358" s="157" t="inlineStr"/>
      <c r="J358" s="157" t="inlineStr">
        <is>
          <t>Wiki controls: None; Test cases under those controls: 0</t>
        </is>
      </c>
      <c r="K358" s="157" t="inlineStr">
        <is>
          <t>https://nachi065.github.io/AI-Security-Wiki/23_Framework_Crosswalks/08_ISO_IEC_27001_Crosswalk.html</t>
        </is>
      </c>
    </row>
    <row r="359">
      <c r="A359" s="6" t="inlineStr">
        <is>
          <t>ISO/IEC standards</t>
        </is>
      </c>
      <c r="B359" s="6" t="inlineStr">
        <is>
          <t>ISO/IEC 27001:2022 Annex A</t>
        </is>
      </c>
      <c r="C359" s="6" t="inlineStr">
        <is>
          <t>Annex A controls</t>
        </is>
      </c>
      <c r="D359" s="6" t="inlineStr">
        <is>
          <t>A.7.3</t>
        </is>
      </c>
      <c r="E359" s="6" t="inlineStr"/>
      <c r="F359" s="6" t="inlineStr">
        <is>
          <t>None</t>
        </is>
      </c>
      <c r="G359" s="6" t="inlineStr">
        <is>
          <t>None</t>
        </is>
      </c>
      <c r="H359" s="6" t="inlineStr">
        <is>
          <t>Derived via mapped controls</t>
        </is>
      </c>
      <c r="I359" s="6" t="inlineStr"/>
      <c r="J359" s="6" t="inlineStr">
        <is>
          <t>Wiki controls: None; Test cases under those controls: 0</t>
        </is>
      </c>
      <c r="K359" s="6" t="inlineStr">
        <is>
          <t>https://nachi065.github.io/AI-Security-Wiki/23_Framework_Crosswalks/08_ISO_IEC_27001_Crosswalk.html</t>
        </is>
      </c>
    </row>
    <row r="360">
      <c r="A360" s="157" t="inlineStr">
        <is>
          <t>ISO/IEC standards</t>
        </is>
      </c>
      <c r="B360" s="157" t="inlineStr">
        <is>
          <t>ISO/IEC 27001:2022 Annex A</t>
        </is>
      </c>
      <c r="C360" s="157" t="inlineStr">
        <is>
          <t>Annex A controls</t>
        </is>
      </c>
      <c r="D360" s="157" t="inlineStr">
        <is>
          <t>A.7.4</t>
        </is>
      </c>
      <c r="E360" s="157" t="inlineStr"/>
      <c r="F360" s="157" t="inlineStr">
        <is>
          <t>None</t>
        </is>
      </c>
      <c r="G360" s="157" t="inlineStr">
        <is>
          <t>None</t>
        </is>
      </c>
      <c r="H360" s="157" t="inlineStr">
        <is>
          <t>Derived via mapped controls</t>
        </is>
      </c>
      <c r="I360" s="157" t="inlineStr"/>
      <c r="J360" s="157" t="inlineStr">
        <is>
          <t>Wiki controls: None; Test cases under those controls: 0</t>
        </is>
      </c>
      <c r="K360" s="157" t="inlineStr">
        <is>
          <t>https://nachi065.github.io/AI-Security-Wiki/23_Framework_Crosswalks/08_ISO_IEC_27001_Crosswalk.html</t>
        </is>
      </c>
    </row>
    <row r="361">
      <c r="A361" s="6" t="inlineStr">
        <is>
          <t>ISO/IEC standards</t>
        </is>
      </c>
      <c r="B361" s="6" t="inlineStr">
        <is>
          <t>ISO/IEC 27001:2022 Annex A</t>
        </is>
      </c>
      <c r="C361" s="6" t="inlineStr">
        <is>
          <t>Annex A controls</t>
        </is>
      </c>
      <c r="D361" s="6" t="inlineStr">
        <is>
          <t>A.7.5</t>
        </is>
      </c>
      <c r="E361" s="6" t="inlineStr"/>
      <c r="F361" s="6" t="inlineStr">
        <is>
          <t>None</t>
        </is>
      </c>
      <c r="G361" s="6" t="inlineStr">
        <is>
          <t>None</t>
        </is>
      </c>
      <c r="H361" s="6" t="inlineStr">
        <is>
          <t>Derived via mapped controls</t>
        </is>
      </c>
      <c r="I361" s="6" t="inlineStr"/>
      <c r="J361" s="6" t="inlineStr">
        <is>
          <t>Wiki controls: None; Test cases under those controls: 0</t>
        </is>
      </c>
      <c r="K361" s="6" t="inlineStr">
        <is>
          <t>https://nachi065.github.io/AI-Security-Wiki/23_Framework_Crosswalks/08_ISO_IEC_27001_Crosswalk.html</t>
        </is>
      </c>
    </row>
    <row r="362">
      <c r="A362" s="157" t="inlineStr">
        <is>
          <t>ISO/IEC standards</t>
        </is>
      </c>
      <c r="B362" s="157" t="inlineStr">
        <is>
          <t>ISO/IEC 27001:2022 Annex A</t>
        </is>
      </c>
      <c r="C362" s="157" t="inlineStr">
        <is>
          <t>Annex A controls</t>
        </is>
      </c>
      <c r="D362" s="157" t="inlineStr">
        <is>
          <t>A.7.6</t>
        </is>
      </c>
      <c r="E362" s="157" t="inlineStr"/>
      <c r="F362" s="157" t="inlineStr">
        <is>
          <t>None</t>
        </is>
      </c>
      <c r="G362" s="157" t="inlineStr">
        <is>
          <t>None</t>
        </is>
      </c>
      <c r="H362" s="157" t="inlineStr">
        <is>
          <t>Derived via mapped controls</t>
        </is>
      </c>
      <c r="I362" s="157" t="inlineStr"/>
      <c r="J362" s="157" t="inlineStr">
        <is>
          <t>Wiki controls: None; Test cases under those controls: 0</t>
        </is>
      </c>
      <c r="K362" s="157" t="inlineStr">
        <is>
          <t>https://nachi065.github.io/AI-Security-Wiki/23_Framework_Crosswalks/08_ISO_IEC_27001_Crosswalk.html</t>
        </is>
      </c>
    </row>
    <row r="363">
      <c r="A363" s="6" t="inlineStr">
        <is>
          <t>ISO/IEC standards</t>
        </is>
      </c>
      <c r="B363" s="6" t="inlineStr">
        <is>
          <t>ISO/IEC 27001:2022 Annex A</t>
        </is>
      </c>
      <c r="C363" s="6" t="inlineStr">
        <is>
          <t>Annex A controls</t>
        </is>
      </c>
      <c r="D363" s="6" t="inlineStr">
        <is>
          <t>A.7.7</t>
        </is>
      </c>
      <c r="E363" s="6" t="inlineStr"/>
      <c r="F363" s="6" t="inlineStr">
        <is>
          <t>None</t>
        </is>
      </c>
      <c r="G363" s="6" t="inlineStr">
        <is>
          <t>None</t>
        </is>
      </c>
      <c r="H363" s="6" t="inlineStr">
        <is>
          <t>Derived via mapped controls</t>
        </is>
      </c>
      <c r="I363" s="6" t="inlineStr"/>
      <c r="J363" s="6" t="inlineStr">
        <is>
          <t>Wiki controls: None; Test cases under those controls: 0</t>
        </is>
      </c>
      <c r="K363" s="6" t="inlineStr">
        <is>
          <t>https://nachi065.github.io/AI-Security-Wiki/23_Framework_Crosswalks/08_ISO_IEC_27001_Crosswalk.html</t>
        </is>
      </c>
    </row>
    <row r="364">
      <c r="A364" s="157" t="inlineStr">
        <is>
          <t>ISO/IEC standards</t>
        </is>
      </c>
      <c r="B364" s="157" t="inlineStr">
        <is>
          <t>ISO/IEC 27001:2022 Annex A</t>
        </is>
      </c>
      <c r="C364" s="157" t="inlineStr">
        <is>
          <t>Annex A controls</t>
        </is>
      </c>
      <c r="D364" s="157" t="inlineStr">
        <is>
          <t>A.7.8</t>
        </is>
      </c>
      <c r="E364" s="157" t="inlineStr"/>
      <c r="F364" s="157" t="inlineStr">
        <is>
          <t>None</t>
        </is>
      </c>
      <c r="G364" s="157" t="inlineStr">
        <is>
          <t>None</t>
        </is>
      </c>
      <c r="H364" s="157" t="inlineStr">
        <is>
          <t>Derived via mapped controls</t>
        </is>
      </c>
      <c r="I364" s="157" t="inlineStr"/>
      <c r="J364" s="157" t="inlineStr">
        <is>
          <t>Wiki controls: None; Test cases under those controls: 0</t>
        </is>
      </c>
      <c r="K364" s="157" t="inlineStr">
        <is>
          <t>https://nachi065.github.io/AI-Security-Wiki/23_Framework_Crosswalks/08_ISO_IEC_27001_Crosswalk.html</t>
        </is>
      </c>
    </row>
    <row r="365">
      <c r="A365" s="6" t="inlineStr">
        <is>
          <t>ISO/IEC standards</t>
        </is>
      </c>
      <c r="B365" s="6" t="inlineStr">
        <is>
          <t>ISO/IEC 27001:2022 Annex A</t>
        </is>
      </c>
      <c r="C365" s="6" t="inlineStr">
        <is>
          <t>Annex A controls</t>
        </is>
      </c>
      <c r="D365" s="6" t="inlineStr">
        <is>
          <t>A.7.9</t>
        </is>
      </c>
      <c r="E365" s="6" t="inlineStr"/>
      <c r="F365" s="6" t="inlineStr">
        <is>
          <t>None</t>
        </is>
      </c>
      <c r="G365" s="6" t="inlineStr">
        <is>
          <t>None</t>
        </is>
      </c>
      <c r="H365" s="6" t="inlineStr">
        <is>
          <t>Derived via mapped controls</t>
        </is>
      </c>
      <c r="I365" s="6" t="inlineStr"/>
      <c r="J365" s="6" t="inlineStr">
        <is>
          <t>Wiki controls: None; Test cases under those controls: 0</t>
        </is>
      </c>
      <c r="K365" s="6" t="inlineStr">
        <is>
          <t>https://nachi065.github.io/AI-Security-Wiki/23_Framework_Crosswalks/08_ISO_IEC_27001_Crosswalk.html</t>
        </is>
      </c>
    </row>
    <row r="366">
      <c r="A366" s="157" t="inlineStr">
        <is>
          <t>ISO/IEC standards</t>
        </is>
      </c>
      <c r="B366" s="157" t="inlineStr">
        <is>
          <t>ISO/IEC 27001:2022 Annex A</t>
        </is>
      </c>
      <c r="C366" s="157" t="inlineStr">
        <is>
          <t>Annex A controls</t>
        </is>
      </c>
      <c r="D366" s="157" t="inlineStr">
        <is>
          <t>A.7.10</t>
        </is>
      </c>
      <c r="E366" s="157" t="inlineStr"/>
      <c r="F366" s="157" t="inlineStr">
        <is>
          <t>None</t>
        </is>
      </c>
      <c r="G366" s="157" t="inlineStr">
        <is>
          <t>None</t>
        </is>
      </c>
      <c r="H366" s="157" t="inlineStr">
        <is>
          <t>Derived via mapped controls</t>
        </is>
      </c>
      <c r="I366" s="157" t="inlineStr"/>
      <c r="J366" s="157" t="inlineStr">
        <is>
          <t>Wiki controls: None; Test cases under those controls: 0</t>
        </is>
      </c>
      <c r="K366" s="157" t="inlineStr">
        <is>
          <t>https://nachi065.github.io/AI-Security-Wiki/23_Framework_Crosswalks/08_ISO_IEC_27001_Crosswalk.html</t>
        </is>
      </c>
    </row>
    <row r="367">
      <c r="A367" s="6" t="inlineStr">
        <is>
          <t>ISO/IEC standards</t>
        </is>
      </c>
      <c r="B367" s="6" t="inlineStr">
        <is>
          <t>ISO/IEC 27001:2022 Annex A</t>
        </is>
      </c>
      <c r="C367" s="6" t="inlineStr">
        <is>
          <t>Annex A controls</t>
        </is>
      </c>
      <c r="D367" s="6" t="inlineStr">
        <is>
          <t>A.7.11</t>
        </is>
      </c>
      <c r="E367" s="6" t="inlineStr"/>
      <c r="F367" s="6" t="inlineStr">
        <is>
          <t>None</t>
        </is>
      </c>
      <c r="G367" s="6" t="inlineStr">
        <is>
          <t>None</t>
        </is>
      </c>
      <c r="H367" s="6" t="inlineStr">
        <is>
          <t>Derived via mapped controls</t>
        </is>
      </c>
      <c r="I367" s="6" t="inlineStr"/>
      <c r="J367" s="6" t="inlineStr">
        <is>
          <t>Wiki controls: None; Test cases under those controls: 0</t>
        </is>
      </c>
      <c r="K367" s="6" t="inlineStr">
        <is>
          <t>https://nachi065.github.io/AI-Security-Wiki/23_Framework_Crosswalks/08_ISO_IEC_27001_Crosswalk.html</t>
        </is>
      </c>
    </row>
    <row r="368">
      <c r="A368" s="157" t="inlineStr">
        <is>
          <t>ISO/IEC standards</t>
        </is>
      </c>
      <c r="B368" s="157" t="inlineStr">
        <is>
          <t>ISO/IEC 27001:2022 Annex A</t>
        </is>
      </c>
      <c r="C368" s="157" t="inlineStr">
        <is>
          <t>Annex A controls</t>
        </is>
      </c>
      <c r="D368" s="157" t="inlineStr">
        <is>
          <t>A.7.12</t>
        </is>
      </c>
      <c r="E368" s="157" t="inlineStr"/>
      <c r="F368" s="157" t="inlineStr">
        <is>
          <t>None</t>
        </is>
      </c>
      <c r="G368" s="157" t="inlineStr">
        <is>
          <t>None</t>
        </is>
      </c>
      <c r="H368" s="157" t="inlineStr">
        <is>
          <t>Derived via mapped controls</t>
        </is>
      </c>
      <c r="I368" s="157" t="inlineStr"/>
      <c r="J368" s="157" t="inlineStr">
        <is>
          <t>Wiki controls: None; Test cases under those controls: 0</t>
        </is>
      </c>
      <c r="K368" s="157" t="inlineStr">
        <is>
          <t>https://nachi065.github.io/AI-Security-Wiki/23_Framework_Crosswalks/08_ISO_IEC_27001_Crosswalk.html</t>
        </is>
      </c>
    </row>
    <row r="369">
      <c r="A369" s="6" t="inlineStr">
        <is>
          <t>ISO/IEC standards</t>
        </is>
      </c>
      <c r="B369" s="6" t="inlineStr">
        <is>
          <t>ISO/IEC 27001:2022 Annex A</t>
        </is>
      </c>
      <c r="C369" s="6" t="inlineStr">
        <is>
          <t>Annex A controls</t>
        </is>
      </c>
      <c r="D369" s="6" t="inlineStr">
        <is>
          <t>A.7.13</t>
        </is>
      </c>
      <c r="E369" s="6" t="inlineStr"/>
      <c r="F369" s="6" t="inlineStr">
        <is>
          <t>None</t>
        </is>
      </c>
      <c r="G369" s="6" t="inlineStr">
        <is>
          <t>None</t>
        </is>
      </c>
      <c r="H369" s="6" t="inlineStr">
        <is>
          <t>Derived via mapped controls</t>
        </is>
      </c>
      <c r="I369" s="6" t="inlineStr"/>
      <c r="J369" s="6" t="inlineStr">
        <is>
          <t>Wiki controls: None; Test cases under those controls: 0</t>
        </is>
      </c>
      <c r="K369" s="6" t="inlineStr">
        <is>
          <t>https://nachi065.github.io/AI-Security-Wiki/23_Framework_Crosswalks/08_ISO_IEC_27001_Crosswalk.html</t>
        </is>
      </c>
    </row>
    <row r="370">
      <c r="A370" s="157" t="inlineStr">
        <is>
          <t>ISO/IEC standards</t>
        </is>
      </c>
      <c r="B370" s="157" t="inlineStr">
        <is>
          <t>ISO/IEC 27001:2022 Annex A</t>
        </is>
      </c>
      <c r="C370" s="157" t="inlineStr">
        <is>
          <t>Annex A controls</t>
        </is>
      </c>
      <c r="D370" s="157" t="inlineStr">
        <is>
          <t>A.7.14</t>
        </is>
      </c>
      <c r="E370" s="157" t="inlineStr"/>
      <c r="F370" s="157" t="inlineStr">
        <is>
          <t>None</t>
        </is>
      </c>
      <c r="G370" s="157" t="inlineStr">
        <is>
          <t>None</t>
        </is>
      </c>
      <c r="H370" s="157" t="inlineStr">
        <is>
          <t>Derived via mapped controls</t>
        </is>
      </c>
      <c r="I370" s="157" t="inlineStr"/>
      <c r="J370" s="157" t="inlineStr">
        <is>
          <t>Wiki controls: None; Test cases under those controls: 0</t>
        </is>
      </c>
      <c r="K370" s="157" t="inlineStr">
        <is>
          <t>https://nachi065.github.io/AI-Security-Wiki/23_Framework_Crosswalks/08_ISO_IEC_27001_Crosswalk.html</t>
        </is>
      </c>
    </row>
    <row r="371">
      <c r="A371" s="6" t="inlineStr">
        <is>
          <t>ISO/IEC standards</t>
        </is>
      </c>
      <c r="B371" s="6" t="inlineStr">
        <is>
          <t>ISO/IEC 27001:2022 Annex A</t>
        </is>
      </c>
      <c r="C371" s="6" t="inlineStr">
        <is>
          <t>Annex A controls</t>
        </is>
      </c>
      <c r="D371" s="6" t="inlineStr">
        <is>
          <t>A.8.1</t>
        </is>
      </c>
      <c r="E371" s="6" t="inlineStr">
        <is>
          <t>User endpoint devices</t>
        </is>
      </c>
      <c r="F371" s="6" t="inlineStr">
        <is>
          <t>AI-CTRL-001, AI-CTRL-002, AI-CTRL-004</t>
        </is>
      </c>
      <c r="G371" s="6" t="inlineStr">
        <is>
          <t>AI-R01, AI-R02, AI-R03, AI-R04, AI-R22, AI-R27</t>
        </is>
      </c>
      <c r="H371" s="6" t="inlineStr">
        <is>
          <t>Derived via mapped controls</t>
        </is>
      </c>
      <c r="I371" s="6" t="inlineStr"/>
      <c r="J371" s="6" t="inlineStr">
        <is>
          <t>Test cases under those controls: 65</t>
        </is>
      </c>
      <c r="K371" s="6" t="inlineStr">
        <is>
          <t>https://nachi065.github.io/AI-Security-Wiki/23_Framework_Crosswalks/08_ISO_IEC_27001_Crosswalk.html</t>
        </is>
      </c>
    </row>
    <row r="372">
      <c r="A372" s="157" t="inlineStr">
        <is>
          <t>ISO/IEC standards</t>
        </is>
      </c>
      <c r="B372" s="157" t="inlineStr">
        <is>
          <t>ISO/IEC 27001:2022 Annex A</t>
        </is>
      </c>
      <c r="C372" s="157" t="inlineStr">
        <is>
          <t>Annex A controls</t>
        </is>
      </c>
      <c r="D372" s="157" t="inlineStr">
        <is>
          <t>A.8.2</t>
        </is>
      </c>
      <c r="E372" s="157" t="inlineStr">
        <is>
          <t>Privileged access rights</t>
        </is>
      </c>
      <c r="F372" s="157" t="inlineStr">
        <is>
          <t>AI-CTRL-016</t>
        </is>
      </c>
      <c r="G372" s="157" t="inlineStr">
        <is>
          <t>AI-R06, AI-R07, AI-R08, AI-R22</t>
        </is>
      </c>
      <c r="H372" s="157" t="inlineStr">
        <is>
          <t>Derived via mapped controls</t>
        </is>
      </c>
      <c r="I372" s="157" t="inlineStr"/>
      <c r="J372" s="157" t="inlineStr">
        <is>
          <t>Test cases under those controls: 53</t>
        </is>
      </c>
      <c r="K372" s="157" t="inlineStr">
        <is>
          <t>https://nachi065.github.io/AI-Security-Wiki/23_Framework_Crosswalks/08_ISO_IEC_27001_Crosswalk.html</t>
        </is>
      </c>
    </row>
    <row r="373">
      <c r="A373" s="6" t="inlineStr">
        <is>
          <t>ISO/IEC standards</t>
        </is>
      </c>
      <c r="B373" s="6" t="inlineStr">
        <is>
          <t>ISO/IEC 27001:2022 Annex A</t>
        </is>
      </c>
      <c r="C373" s="6" t="inlineStr">
        <is>
          <t>Annex A controls</t>
        </is>
      </c>
      <c r="D373" s="6" t="inlineStr">
        <is>
          <t>A.8.3</t>
        </is>
      </c>
      <c r="E373" s="6" t="inlineStr">
        <is>
          <t>Information access restriction</t>
        </is>
      </c>
      <c r="F373" s="6" t="inlineStr">
        <is>
          <t>AI-CTRL-016, AI-CTRL-018, AI-CTRL-022, AI-CTRL-026, AI-CTRL-028</t>
        </is>
      </c>
      <c r="G373" s="6" t="inlineStr">
        <is>
          <t>AI-R05, AI-R06, AI-R07, AI-R08, AI-R21, AI-R22, AI-R24</t>
        </is>
      </c>
      <c r="H373" s="6" t="inlineStr">
        <is>
          <t>Derived via mapped controls</t>
        </is>
      </c>
      <c r="I373" s="6" t="inlineStr"/>
      <c r="J373" s="6" t="inlineStr">
        <is>
          <t>Test cases under those controls: 105</t>
        </is>
      </c>
      <c r="K373" s="6" t="inlineStr">
        <is>
          <t>https://nachi065.github.io/AI-Security-Wiki/23_Framework_Crosswalks/08_ISO_IEC_27001_Crosswalk.html</t>
        </is>
      </c>
    </row>
    <row r="374">
      <c r="A374" s="157" t="inlineStr">
        <is>
          <t>ISO/IEC standards</t>
        </is>
      </c>
      <c r="B374" s="157" t="inlineStr">
        <is>
          <t>ISO/IEC 27001:2022 Annex A</t>
        </is>
      </c>
      <c r="C374" s="157" t="inlineStr">
        <is>
          <t>Annex A controls</t>
        </is>
      </c>
      <c r="D374" s="157" t="inlineStr">
        <is>
          <t>A.8.4</t>
        </is>
      </c>
      <c r="E374" s="157" t="inlineStr">
        <is>
          <t>Access to source code</t>
        </is>
      </c>
      <c r="F374" s="157" t="inlineStr">
        <is>
          <t>AI-CTRL-004, AI-CTRL-030</t>
        </is>
      </c>
      <c r="G374" s="157" t="inlineStr">
        <is>
          <t>AI-R04, AI-R08, AI-R22</t>
        </is>
      </c>
      <c r="H374" s="157" t="inlineStr">
        <is>
          <t>Derived via mapped controls</t>
        </is>
      </c>
      <c r="I374" s="157" t="inlineStr"/>
      <c r="J374" s="157" t="inlineStr">
        <is>
          <t>Test cases under those controls: 35</t>
        </is>
      </c>
      <c r="K374" s="157" t="inlineStr">
        <is>
          <t>https://nachi065.github.io/AI-Security-Wiki/23_Framework_Crosswalks/08_ISO_IEC_27001_Crosswalk.html</t>
        </is>
      </c>
    </row>
    <row r="375">
      <c r="A375" s="6" t="inlineStr">
        <is>
          <t>ISO/IEC standards</t>
        </is>
      </c>
      <c r="B375" s="6" t="inlineStr">
        <is>
          <t>ISO/IEC 27001:2022 Annex A</t>
        </is>
      </c>
      <c r="C375" s="6" t="inlineStr">
        <is>
          <t>Annex A controls</t>
        </is>
      </c>
      <c r="D375" s="6" t="inlineStr">
        <is>
          <t>A.8.5</t>
        </is>
      </c>
      <c r="E375" s="6" t="inlineStr">
        <is>
          <t>Secure authentication</t>
        </is>
      </c>
      <c r="F375" s="6" t="inlineStr">
        <is>
          <t>AI-CTRL-015</t>
        </is>
      </c>
      <c r="G375" s="6" t="inlineStr">
        <is>
          <t>AI-R07, AI-R22, AI-R25</t>
        </is>
      </c>
      <c r="H375" s="6" t="inlineStr">
        <is>
          <t>Derived via mapped controls</t>
        </is>
      </c>
      <c r="I375" s="6" t="inlineStr"/>
      <c r="J375" s="6" t="inlineStr">
        <is>
          <t>Test cases under those controls: 45</t>
        </is>
      </c>
      <c r="K375" s="6" t="inlineStr">
        <is>
          <t>https://nachi065.github.io/AI-Security-Wiki/23_Framework_Crosswalks/08_ISO_IEC_27001_Crosswalk.html</t>
        </is>
      </c>
    </row>
    <row r="376">
      <c r="A376" s="157" t="inlineStr">
        <is>
          <t>ISO/IEC standards</t>
        </is>
      </c>
      <c r="B376" s="157" t="inlineStr">
        <is>
          <t>ISO/IEC 27001:2022 Annex A</t>
        </is>
      </c>
      <c r="C376" s="157" t="inlineStr">
        <is>
          <t>Annex A controls</t>
        </is>
      </c>
      <c r="D376" s="157" t="inlineStr">
        <is>
          <t>A.8.6</t>
        </is>
      </c>
      <c r="E376" s="157" t="inlineStr">
        <is>
          <t>Capacity management</t>
        </is>
      </c>
      <c r="F376" s="157" t="inlineStr">
        <is>
          <t>AI-CTRL-036, AI-CTRL-040</t>
        </is>
      </c>
      <c r="G376" s="157" t="inlineStr">
        <is>
          <t>AI-R11, AI-R13, AI-R16</t>
        </is>
      </c>
      <c r="H376" s="157" t="inlineStr">
        <is>
          <t>Derived via mapped controls</t>
        </is>
      </c>
      <c r="I376" s="157" t="inlineStr"/>
      <c r="J376" s="157" t="inlineStr">
        <is>
          <t>Test cases under those controls: 44</t>
        </is>
      </c>
      <c r="K376" s="157" t="inlineStr">
        <is>
          <t>https://nachi065.github.io/AI-Security-Wiki/23_Framework_Crosswalks/08_ISO_IEC_27001_Crosswalk.html</t>
        </is>
      </c>
    </row>
    <row r="377">
      <c r="A377" s="6" t="inlineStr">
        <is>
          <t>ISO/IEC standards</t>
        </is>
      </c>
      <c r="B377" s="6" t="inlineStr">
        <is>
          <t>ISO/IEC 27001:2022 Annex A</t>
        </is>
      </c>
      <c r="C377" s="6" t="inlineStr">
        <is>
          <t>Annex A controls</t>
        </is>
      </c>
      <c r="D377" s="6" t="inlineStr">
        <is>
          <t>A.8.7</t>
        </is>
      </c>
      <c r="E377" s="6" t="inlineStr">
        <is>
          <t>Protection against malware</t>
        </is>
      </c>
      <c r="F377" s="6" t="inlineStr">
        <is>
          <t>AI-CTRL-021</t>
        </is>
      </c>
      <c r="G377" s="6" t="inlineStr">
        <is>
          <t>AI-R03, AI-R05</t>
        </is>
      </c>
      <c r="H377" s="6" t="inlineStr">
        <is>
          <t>Derived via mapped controls</t>
        </is>
      </c>
      <c r="I377" s="6" t="inlineStr"/>
      <c r="J377" s="6" t="inlineStr">
        <is>
          <t>Test cases under those controls: 28</t>
        </is>
      </c>
      <c r="K377" s="6" t="inlineStr">
        <is>
          <t>https://nachi065.github.io/AI-Security-Wiki/23_Framework_Crosswalks/08_ISO_IEC_27001_Crosswalk.html</t>
        </is>
      </c>
    </row>
    <row r="378">
      <c r="A378" s="157" t="inlineStr">
        <is>
          <t>ISO/IEC standards</t>
        </is>
      </c>
      <c r="B378" s="157" t="inlineStr">
        <is>
          <t>ISO/IEC 27001:2022 Annex A</t>
        </is>
      </c>
      <c r="C378" s="157" t="inlineStr">
        <is>
          <t>Annex A controls</t>
        </is>
      </c>
      <c r="D378" s="157" t="inlineStr">
        <is>
          <t>A.8.8</t>
        </is>
      </c>
      <c r="E378" s="157" t="inlineStr">
        <is>
          <t>Management of technical vulnerabilities</t>
        </is>
      </c>
      <c r="F378" s="157" t="inlineStr">
        <is>
          <t>AI-CTRL-031, AI-CTRL-032, AI-CTRL-034</t>
        </is>
      </c>
      <c r="G378" s="157" t="inlineStr">
        <is>
          <t>AI-R05, AI-R07, AI-R08, AI-R10, AI-R16, AI-R17, AI-R20, AI-R23</t>
        </is>
      </c>
      <c r="H378" s="157" t="inlineStr">
        <is>
          <t>Derived via mapped controls</t>
        </is>
      </c>
      <c r="I378" s="157" t="inlineStr"/>
      <c r="J378" s="157" t="inlineStr">
        <is>
          <t>Test cases under those controls: 88</t>
        </is>
      </c>
      <c r="K378" s="157" t="inlineStr">
        <is>
          <t>https://nachi065.github.io/AI-Security-Wiki/23_Framework_Crosswalks/08_ISO_IEC_27001_Crosswalk.html</t>
        </is>
      </c>
    </row>
    <row r="379">
      <c r="A379" s="6" t="inlineStr">
        <is>
          <t>ISO/IEC standards</t>
        </is>
      </c>
      <c r="B379" s="6" t="inlineStr">
        <is>
          <t>ISO/IEC 27001:2022 Annex A</t>
        </is>
      </c>
      <c r="C379" s="6" t="inlineStr">
        <is>
          <t>Annex A controls</t>
        </is>
      </c>
      <c r="D379" s="6" t="inlineStr">
        <is>
          <t>A.8.9</t>
        </is>
      </c>
      <c r="E379" s="6" t="inlineStr">
        <is>
          <t>Configuration management</t>
        </is>
      </c>
      <c r="F379" s="6" t="inlineStr">
        <is>
          <t>AI-CTRL-024, AI-CTRL-030, AI-CTRL-032</t>
        </is>
      </c>
      <c r="G379" s="6" t="inlineStr">
        <is>
          <t>AI-R07, AI-R08, AI-R10, AI-R23, AI-R24</t>
        </is>
      </c>
      <c r="H379" s="6" t="inlineStr">
        <is>
          <t>Derived via mapped controls</t>
        </is>
      </c>
      <c r="I379" s="6" t="inlineStr"/>
      <c r="J379" s="6" t="inlineStr">
        <is>
          <t>Test cases under those controls: 59</t>
        </is>
      </c>
      <c r="K379" s="6" t="inlineStr">
        <is>
          <t>https://nachi065.github.io/AI-Security-Wiki/23_Framework_Crosswalks/08_ISO_IEC_27001_Crosswalk.html</t>
        </is>
      </c>
    </row>
    <row r="380">
      <c r="A380" s="157" t="inlineStr">
        <is>
          <t>ISO/IEC standards</t>
        </is>
      </c>
      <c r="B380" s="157" t="inlineStr">
        <is>
          <t>ISO/IEC 27001:2022 Annex A</t>
        </is>
      </c>
      <c r="C380" s="157" t="inlineStr">
        <is>
          <t>Annex A controls</t>
        </is>
      </c>
      <c r="D380" s="157" t="inlineStr">
        <is>
          <t>A.8.10</t>
        </is>
      </c>
      <c r="E380" s="157" t="inlineStr">
        <is>
          <t>Information deletion</t>
        </is>
      </c>
      <c r="F380" s="157" t="inlineStr">
        <is>
          <t>AI-CTRL-007, AI-CTRL-013, AI-CTRL-017</t>
        </is>
      </c>
      <c r="G380" s="157" t="inlineStr">
        <is>
          <t>AI-R01, AI-R03, AI-R06, AI-R10, AI-R17, AI-R27, AI-R28</t>
        </is>
      </c>
      <c r="H380" s="157" t="inlineStr">
        <is>
          <t>Derived via mapped controls</t>
        </is>
      </c>
      <c r="I380" s="157" t="inlineStr"/>
      <c r="J380" s="157" t="inlineStr">
        <is>
          <t>Test cases under those controls: 90</t>
        </is>
      </c>
      <c r="K380" s="157" t="inlineStr">
        <is>
          <t>https://nachi065.github.io/AI-Security-Wiki/23_Framework_Crosswalks/08_ISO_IEC_27001_Crosswalk.html</t>
        </is>
      </c>
    </row>
    <row r="381">
      <c r="A381" s="6" t="inlineStr">
        <is>
          <t>ISO/IEC standards</t>
        </is>
      </c>
      <c r="B381" s="6" t="inlineStr">
        <is>
          <t>ISO/IEC 27001:2022 Annex A</t>
        </is>
      </c>
      <c r="C381" s="6" t="inlineStr">
        <is>
          <t>Annex A controls</t>
        </is>
      </c>
      <c r="D381" s="6" t="inlineStr">
        <is>
          <t>A.8.11</t>
        </is>
      </c>
      <c r="E381" s="6" t="inlineStr">
        <is>
          <t>Data masking</t>
        </is>
      </c>
      <c r="F381" s="6" t="inlineStr">
        <is>
          <t>AI-CTRL-002, AI-CTRL-013, AI-CTRL-017</t>
        </is>
      </c>
      <c r="G381" s="6" t="inlineStr">
        <is>
          <t>AI-R01, AI-R03, AI-R06, AI-R10, AI-R17, AI-R27, AI-R28</t>
        </is>
      </c>
      <c r="H381" s="6" t="inlineStr">
        <is>
          <t>Derived via mapped controls</t>
        </is>
      </c>
      <c r="I381" s="6" t="inlineStr"/>
      <c r="J381" s="6" t="inlineStr">
        <is>
          <t>Test cases under those controls: 93</t>
        </is>
      </c>
      <c r="K381" s="6" t="inlineStr">
        <is>
          <t>https://nachi065.github.io/AI-Security-Wiki/23_Framework_Crosswalks/08_ISO_IEC_27001_Crosswalk.html</t>
        </is>
      </c>
    </row>
    <row r="382">
      <c r="A382" s="157" t="inlineStr">
        <is>
          <t>ISO/IEC standards</t>
        </is>
      </c>
      <c r="B382" s="157" t="inlineStr">
        <is>
          <t>ISO/IEC 27001:2022 Annex A</t>
        </is>
      </c>
      <c r="C382" s="157" t="inlineStr">
        <is>
          <t>Annex A controls</t>
        </is>
      </c>
      <c r="D382" s="157" t="inlineStr">
        <is>
          <t>A.8.12</t>
        </is>
      </c>
      <c r="E382" s="157" t="inlineStr">
        <is>
          <t>Data leakage prevention</t>
        </is>
      </c>
      <c r="F382" s="157" t="inlineStr">
        <is>
          <t>AI-CTRL-002, AI-CTRL-003, AI-CTRL-004, AI-CTRL-010, AI-CTRL-017, AI-CTRL-021, AI-CTRL-028</t>
        </is>
      </c>
      <c r="G382" s="157" t="inlineStr">
        <is>
          <t>AI-R01, AI-R02, AI-R03, AI-R04, AI-R05, AI-R06, AI-R08, AI-R17, AI-R22, AI-R27</t>
        </is>
      </c>
      <c r="H382" s="157" t="inlineStr">
        <is>
          <t>Derived via mapped controls</t>
        </is>
      </c>
      <c r="I382" s="157" t="inlineStr"/>
      <c r="J382" s="157" t="inlineStr">
        <is>
          <t>Test cases under those controls: 142</t>
        </is>
      </c>
      <c r="K382" s="157" t="inlineStr">
        <is>
          <t>https://nachi065.github.io/AI-Security-Wiki/23_Framework_Crosswalks/08_ISO_IEC_27001_Crosswalk.html</t>
        </is>
      </c>
    </row>
    <row r="383">
      <c r="A383" s="6" t="inlineStr">
        <is>
          <t>ISO/IEC standards</t>
        </is>
      </c>
      <c r="B383" s="6" t="inlineStr">
        <is>
          <t>ISO/IEC 27001:2022 Annex A</t>
        </is>
      </c>
      <c r="C383" s="6" t="inlineStr">
        <is>
          <t>Annex A controls</t>
        </is>
      </c>
      <c r="D383" s="6" t="inlineStr">
        <is>
          <t>A.8.13</t>
        </is>
      </c>
      <c r="E383" s="6" t="inlineStr">
        <is>
          <t>Information backup</t>
        </is>
      </c>
      <c r="F383" s="6" t="inlineStr">
        <is>
          <t>AI-CTRL-040</t>
        </is>
      </c>
      <c r="G383" s="6" t="inlineStr">
        <is>
          <t>AI-R13, AI-R16</t>
        </is>
      </c>
      <c r="H383" s="6" t="inlineStr">
        <is>
          <t>Derived via mapped controls</t>
        </is>
      </c>
      <c r="I383" s="6" t="inlineStr"/>
      <c r="J383" s="6" t="inlineStr">
        <is>
          <t>Test cases under those controls: 14</t>
        </is>
      </c>
      <c r="K383" s="6" t="inlineStr">
        <is>
          <t>https://nachi065.github.io/AI-Security-Wiki/23_Framework_Crosswalks/08_ISO_IEC_27001_Crosswalk.html</t>
        </is>
      </c>
    </row>
    <row r="384">
      <c r="A384" s="157" t="inlineStr">
        <is>
          <t>ISO/IEC standards</t>
        </is>
      </c>
      <c r="B384" s="157" t="inlineStr">
        <is>
          <t>ISO/IEC 27001:2022 Annex A</t>
        </is>
      </c>
      <c r="C384" s="157" t="inlineStr">
        <is>
          <t>Annex A controls</t>
        </is>
      </c>
      <c r="D384" s="157" t="inlineStr">
        <is>
          <t>A.8.14</t>
        </is>
      </c>
      <c r="E384" s="157" t="inlineStr">
        <is>
          <t>Redundancy of information processing facilities</t>
        </is>
      </c>
      <c r="F384" s="157" t="inlineStr">
        <is>
          <t>AI-CTRL-040</t>
        </is>
      </c>
      <c r="G384" s="157" t="inlineStr">
        <is>
          <t>AI-R13, AI-R16</t>
        </is>
      </c>
      <c r="H384" s="157" t="inlineStr">
        <is>
          <t>Derived via mapped controls</t>
        </is>
      </c>
      <c r="I384" s="157" t="inlineStr"/>
      <c r="J384" s="157" t="inlineStr">
        <is>
          <t>Test cases under those controls: 14</t>
        </is>
      </c>
      <c r="K384" s="157" t="inlineStr">
        <is>
          <t>https://nachi065.github.io/AI-Security-Wiki/23_Framework_Crosswalks/08_ISO_IEC_27001_Crosswalk.html</t>
        </is>
      </c>
    </row>
    <row r="385">
      <c r="A385" s="6" t="inlineStr">
        <is>
          <t>ISO/IEC standards</t>
        </is>
      </c>
      <c r="B385" s="6" t="inlineStr">
        <is>
          <t>ISO/IEC 27001:2022 Annex A</t>
        </is>
      </c>
      <c r="C385" s="6" t="inlineStr">
        <is>
          <t>Annex A controls</t>
        </is>
      </c>
      <c r="D385" s="6" t="inlineStr">
        <is>
          <t>A.8.15</t>
        </is>
      </c>
      <c r="E385" s="6" t="inlineStr">
        <is>
          <t>Logging</t>
        </is>
      </c>
      <c r="F385" s="6" t="inlineStr">
        <is>
          <t>AI-CTRL-006, AI-CTRL-008, AI-CTRL-009</t>
        </is>
      </c>
      <c r="G385" s="6" t="inlineStr">
        <is>
          <t>AI-R07, AI-R09, AI-R15, AI-R25, AI-R26</t>
        </is>
      </c>
      <c r="H385" s="6" t="inlineStr">
        <is>
          <t>Derived via mapped controls</t>
        </is>
      </c>
      <c r="I385" s="6" t="inlineStr"/>
      <c r="J385" s="6" t="inlineStr">
        <is>
          <t>Test cases under those controls: 56</t>
        </is>
      </c>
      <c r="K385" s="6" t="inlineStr">
        <is>
          <t>https://nachi065.github.io/AI-Security-Wiki/23_Framework_Crosswalks/08_ISO_IEC_27001_Crosswalk.html</t>
        </is>
      </c>
    </row>
    <row r="386">
      <c r="A386" s="157" t="inlineStr">
        <is>
          <t>ISO/IEC standards</t>
        </is>
      </c>
      <c r="B386" s="157" t="inlineStr">
        <is>
          <t>ISO/IEC 27001:2022 Annex A</t>
        </is>
      </c>
      <c r="C386" s="157" t="inlineStr">
        <is>
          <t>Annex A controls</t>
        </is>
      </c>
      <c r="D386" s="157" t="inlineStr">
        <is>
          <t>A.8.16</t>
        </is>
      </c>
      <c r="E386" s="157" t="inlineStr">
        <is>
          <t>Monitoring activities</t>
        </is>
      </c>
      <c r="F386" s="157" t="inlineStr">
        <is>
          <t>AI-CTRL-001, AI-CTRL-005, AI-CTRL-006, AI-CTRL-009, AI-CTRL-036</t>
        </is>
      </c>
      <c r="G386" s="157" t="inlineStr">
        <is>
          <t>AI-R02, AI-R05, AI-R06, AI-R07, AI-R09, AI-R11, AI-R24, AI-R25</t>
        </is>
      </c>
      <c r="H386" s="157" t="inlineStr">
        <is>
          <t>Derived via mapped controls</t>
        </is>
      </c>
      <c r="I386" s="157" t="inlineStr"/>
      <c r="J386" s="157" t="inlineStr">
        <is>
          <t>Test cases under those controls: 146</t>
        </is>
      </c>
      <c r="K386" s="157" t="inlineStr">
        <is>
          <t>https://nachi065.github.io/AI-Security-Wiki/23_Framework_Crosswalks/08_ISO_IEC_27001_Crosswalk.html</t>
        </is>
      </c>
    </row>
    <row r="387">
      <c r="A387" s="6" t="inlineStr">
        <is>
          <t>ISO/IEC standards</t>
        </is>
      </c>
      <c r="B387" s="6" t="inlineStr">
        <is>
          <t>ISO/IEC 27001:2022 Annex A</t>
        </is>
      </c>
      <c r="C387" s="6" t="inlineStr">
        <is>
          <t>Annex A controls</t>
        </is>
      </c>
      <c r="D387" s="6" t="inlineStr">
        <is>
          <t>A.8.17</t>
        </is>
      </c>
      <c r="E387" s="6" t="inlineStr">
        <is>
          <t>Clock synchronization</t>
        </is>
      </c>
      <c r="F387" s="6" t="inlineStr">
        <is>
          <t>AI-CTRL-008</t>
        </is>
      </c>
      <c r="G387" s="6" t="inlineStr">
        <is>
          <t>AI-R09, AI-R15, AI-R26</t>
        </is>
      </c>
      <c r="H387" s="6" t="inlineStr">
        <is>
          <t>Derived via mapped controls</t>
        </is>
      </c>
      <c r="I387" s="6" t="inlineStr"/>
      <c r="J387" s="6" t="inlineStr">
        <is>
          <t>Test cases under those controls: 23</t>
        </is>
      </c>
      <c r="K387" s="6" t="inlineStr">
        <is>
          <t>https://nachi065.github.io/AI-Security-Wiki/23_Framework_Crosswalks/08_ISO_IEC_27001_Crosswalk.html</t>
        </is>
      </c>
    </row>
    <row r="388">
      <c r="A388" s="157" t="inlineStr">
        <is>
          <t>ISO/IEC standards</t>
        </is>
      </c>
      <c r="B388" s="157" t="inlineStr">
        <is>
          <t>ISO/IEC 27001:2022 Annex A</t>
        </is>
      </c>
      <c r="C388" s="157" t="inlineStr">
        <is>
          <t>Annex A controls</t>
        </is>
      </c>
      <c r="D388" s="157" t="inlineStr">
        <is>
          <t>A.8.18</t>
        </is>
      </c>
      <c r="E388" s="157" t="inlineStr">
        <is>
          <t>Use of privileged utility programs</t>
        </is>
      </c>
      <c r="F388" s="157" t="inlineStr">
        <is>
          <t>AI-CTRL-024</t>
        </is>
      </c>
      <c r="G388" s="157" t="inlineStr">
        <is>
          <t>AI-R07, AI-R08, AI-R23, AI-R24</t>
        </is>
      </c>
      <c r="H388" s="157" t="inlineStr">
        <is>
          <t>Derived via mapped controls</t>
        </is>
      </c>
      <c r="I388" s="157" t="inlineStr"/>
      <c r="J388" s="157" t="inlineStr">
        <is>
          <t>Test cases under those controls: 16</t>
        </is>
      </c>
      <c r="K388" s="157" t="inlineStr">
        <is>
          <t>https://nachi065.github.io/AI-Security-Wiki/23_Framework_Crosswalks/08_ISO_IEC_27001_Crosswalk.html</t>
        </is>
      </c>
    </row>
    <row r="389">
      <c r="A389" s="6" t="inlineStr">
        <is>
          <t>ISO/IEC standards</t>
        </is>
      </c>
      <c r="B389" s="6" t="inlineStr">
        <is>
          <t>ISO/IEC 27001:2022 Annex A</t>
        </is>
      </c>
      <c r="C389" s="6" t="inlineStr">
        <is>
          <t>Annex A controls</t>
        </is>
      </c>
      <c r="D389" s="6" t="inlineStr">
        <is>
          <t>A.8.19</t>
        </is>
      </c>
      <c r="E389" s="6" t="inlineStr">
        <is>
          <t>Installation of software on operational systems</t>
        </is>
      </c>
      <c r="F389" s="6" t="inlineStr">
        <is>
          <t>AI-CTRL-024, AI-CTRL-031</t>
        </is>
      </c>
      <c r="G389" s="6" t="inlineStr">
        <is>
          <t>AI-R07, AI-R08, AI-R16, AI-R23, AI-R24</t>
        </is>
      </c>
      <c r="H389" s="6" t="inlineStr">
        <is>
          <t>Derived via mapped controls</t>
        </is>
      </c>
      <c r="I389" s="6" t="inlineStr"/>
      <c r="J389" s="6" t="inlineStr">
        <is>
          <t>Test cases under those controls: 40</t>
        </is>
      </c>
      <c r="K389" s="6" t="inlineStr">
        <is>
          <t>https://nachi065.github.io/AI-Security-Wiki/23_Framework_Crosswalks/08_ISO_IEC_27001_Crosswalk.html</t>
        </is>
      </c>
    </row>
    <row r="390">
      <c r="A390" s="157" t="inlineStr">
        <is>
          <t>ISO/IEC standards</t>
        </is>
      </c>
      <c r="B390" s="157" t="inlineStr">
        <is>
          <t>ISO/IEC 27001:2022 Annex A</t>
        </is>
      </c>
      <c r="C390" s="157" t="inlineStr">
        <is>
          <t>Annex A controls</t>
        </is>
      </c>
      <c r="D390" s="157" t="inlineStr">
        <is>
          <t>A.8.20</t>
        </is>
      </c>
      <c r="E390" s="157" t="inlineStr">
        <is>
          <t>Networks security</t>
        </is>
      </c>
      <c r="F390" s="157" t="inlineStr">
        <is>
          <t>AI-CTRL-032</t>
        </is>
      </c>
      <c r="G390" s="157" t="inlineStr">
        <is>
          <t>AI-R08, AI-R10</t>
        </is>
      </c>
      <c r="H390" s="157" t="inlineStr">
        <is>
          <t>Derived via mapped controls</t>
        </is>
      </c>
      <c r="I390" s="157" t="inlineStr"/>
      <c r="J390" s="157" t="inlineStr">
        <is>
          <t>Test cases under those controls: 27</t>
        </is>
      </c>
      <c r="K390" s="157" t="inlineStr">
        <is>
          <t>https://nachi065.github.io/AI-Security-Wiki/23_Framework_Crosswalks/08_ISO_IEC_27001_Crosswalk.html</t>
        </is>
      </c>
    </row>
    <row r="391">
      <c r="A391" s="6" t="inlineStr">
        <is>
          <t>ISO/IEC standards</t>
        </is>
      </c>
      <c r="B391" s="6" t="inlineStr">
        <is>
          <t>ISO/IEC 27001:2022 Annex A</t>
        </is>
      </c>
      <c r="C391" s="6" t="inlineStr">
        <is>
          <t>Annex A controls</t>
        </is>
      </c>
      <c r="D391" s="6" t="inlineStr">
        <is>
          <t>A.8.21</t>
        </is>
      </c>
      <c r="E391" s="6" t="inlineStr">
        <is>
          <t>Security of network services</t>
        </is>
      </c>
      <c r="F391" s="6" t="inlineStr">
        <is>
          <t>AI-CTRL-032</t>
        </is>
      </c>
      <c r="G391" s="6" t="inlineStr">
        <is>
          <t>AI-R08, AI-R10</t>
        </is>
      </c>
      <c r="H391" s="6" t="inlineStr">
        <is>
          <t>Derived via mapped controls</t>
        </is>
      </c>
      <c r="I391" s="6" t="inlineStr"/>
      <c r="J391" s="6" t="inlineStr">
        <is>
          <t>Test cases under those controls: 27</t>
        </is>
      </c>
      <c r="K391" s="6" t="inlineStr">
        <is>
          <t>https://nachi065.github.io/AI-Security-Wiki/23_Framework_Crosswalks/08_ISO_IEC_27001_Crosswalk.html</t>
        </is>
      </c>
    </row>
    <row r="392">
      <c r="A392" s="157" t="inlineStr">
        <is>
          <t>ISO/IEC standards</t>
        </is>
      </c>
      <c r="B392" s="157" t="inlineStr">
        <is>
          <t>ISO/IEC 27001:2022 Annex A</t>
        </is>
      </c>
      <c r="C392" s="157" t="inlineStr">
        <is>
          <t>Annex A controls</t>
        </is>
      </c>
      <c r="D392" s="157" t="inlineStr">
        <is>
          <t>A.8.22</t>
        </is>
      </c>
      <c r="E392" s="157" t="inlineStr">
        <is>
          <t>Segregation of networks</t>
        </is>
      </c>
      <c r="F392" s="157" t="inlineStr">
        <is>
          <t>AI-CTRL-027, AI-CTRL-032</t>
        </is>
      </c>
      <c r="G392" s="157" t="inlineStr">
        <is>
          <t>AI-R07, AI-R08, AI-R10, AI-R21, AI-R22, AI-R25, AI-R55</t>
        </is>
      </c>
      <c r="H392" s="157" t="inlineStr">
        <is>
          <t>Derived via mapped controls</t>
        </is>
      </c>
      <c r="I392" s="157" t="inlineStr"/>
      <c r="J392" s="157" t="inlineStr">
        <is>
          <t>Test cases under those controls: 39</t>
        </is>
      </c>
      <c r="K392" s="157" t="inlineStr">
        <is>
          <t>https://nachi065.github.io/AI-Security-Wiki/23_Framework_Crosswalks/08_ISO_IEC_27001_Crosswalk.html</t>
        </is>
      </c>
    </row>
    <row r="393">
      <c r="A393" s="6" t="inlineStr">
        <is>
          <t>ISO/IEC standards</t>
        </is>
      </c>
      <c r="B393" s="6" t="inlineStr">
        <is>
          <t>ISO/IEC 27001:2022 Annex A</t>
        </is>
      </c>
      <c r="C393" s="6" t="inlineStr">
        <is>
          <t>Annex A controls</t>
        </is>
      </c>
      <c r="D393" s="6" t="inlineStr">
        <is>
          <t>A.8.23</t>
        </is>
      </c>
      <c r="E393" s="6" t="inlineStr">
        <is>
          <t>Web filtering</t>
        </is>
      </c>
      <c r="F393" s="6" t="inlineStr">
        <is>
          <t>AI-CTRL-001, AI-CTRL-010</t>
        </is>
      </c>
      <c r="G393" s="6" t="inlineStr">
        <is>
          <t>AI-R01, AI-R02, AI-R03</t>
        </is>
      </c>
      <c r="H393" s="6" t="inlineStr">
        <is>
          <t>Derived via mapped controls</t>
        </is>
      </c>
      <c r="I393" s="6" t="inlineStr"/>
      <c r="J393" s="6" t="inlineStr">
        <is>
          <t>Test cases under those controls: 59</t>
        </is>
      </c>
      <c r="K393" s="6" t="inlineStr">
        <is>
          <t>https://nachi065.github.io/AI-Security-Wiki/23_Framework_Crosswalks/08_ISO_IEC_27001_Crosswalk.html</t>
        </is>
      </c>
    </row>
    <row r="394">
      <c r="A394" s="157" t="inlineStr">
        <is>
          <t>ISO/IEC standards</t>
        </is>
      </c>
      <c r="B394" s="157" t="inlineStr">
        <is>
          <t>ISO/IEC 27001:2022 Annex A</t>
        </is>
      </c>
      <c r="C394" s="157" t="inlineStr">
        <is>
          <t>Annex A controls</t>
        </is>
      </c>
      <c r="D394" s="157" t="inlineStr">
        <is>
          <t>A.8.24</t>
        </is>
      </c>
      <c r="E394" s="157" t="inlineStr">
        <is>
          <t>Use of cryptography</t>
        </is>
      </c>
      <c r="F394" s="157" t="inlineStr">
        <is>
          <t>AI-CTRL-017, AI-CTRL-028, AI-CTRL-032</t>
        </is>
      </c>
      <c r="G394" s="157" t="inlineStr">
        <is>
          <t>AI-R01, AI-R03, AI-R06, AI-R08, AI-R10, AI-R17</t>
        </is>
      </c>
      <c r="H394" s="157" t="inlineStr">
        <is>
          <t>Derived via mapped controls</t>
        </is>
      </c>
      <c r="I394" s="157" t="inlineStr"/>
      <c r="J394" s="157" t="inlineStr">
        <is>
          <t>Test cases under those controls: 82</t>
        </is>
      </c>
      <c r="K394" s="157" t="inlineStr">
        <is>
          <t>https://nachi065.github.io/AI-Security-Wiki/23_Framework_Crosswalks/08_ISO_IEC_27001_Crosswalk.html</t>
        </is>
      </c>
    </row>
    <row r="395">
      <c r="A395" s="6" t="inlineStr">
        <is>
          <t>ISO/IEC standards</t>
        </is>
      </c>
      <c r="B395" s="6" t="inlineStr">
        <is>
          <t>ISO/IEC 27001:2022 Annex A</t>
        </is>
      </c>
      <c r="C395" s="6" t="inlineStr">
        <is>
          <t>Annex A controls</t>
        </is>
      </c>
      <c r="D395" s="6" t="inlineStr">
        <is>
          <t>A.8.25</t>
        </is>
      </c>
      <c r="E395" s="6" t="inlineStr">
        <is>
          <t>Secure development life cycle</t>
        </is>
      </c>
      <c r="F395" s="6" t="inlineStr">
        <is>
          <t>AI-CTRL-030, AI-CTRL-033</t>
        </is>
      </c>
      <c r="G395" s="6" t="inlineStr">
        <is>
          <t>AI-R05, AI-R07, AI-R08, AI-R14, AI-R16, AI-R55</t>
        </is>
      </c>
      <c r="H395" s="6" t="inlineStr">
        <is>
          <t>Derived via mapped controls</t>
        </is>
      </c>
      <c r="I395" s="6" t="inlineStr"/>
      <c r="J395" s="6" t="inlineStr">
        <is>
          <t>Test cases under those controls: 23</t>
        </is>
      </c>
      <c r="K395" s="6" t="inlineStr">
        <is>
          <t>https://nachi065.github.io/AI-Security-Wiki/23_Framework_Crosswalks/08_ISO_IEC_27001_Crosswalk.html</t>
        </is>
      </c>
    </row>
    <row r="396">
      <c r="A396" s="157" t="inlineStr">
        <is>
          <t>ISO/IEC standards</t>
        </is>
      </c>
      <c r="B396" s="157" t="inlineStr">
        <is>
          <t>ISO/IEC 27001:2022 Annex A</t>
        </is>
      </c>
      <c r="C396" s="157" t="inlineStr">
        <is>
          <t>Annex A controls</t>
        </is>
      </c>
      <c r="D396" s="157" t="inlineStr">
        <is>
          <t>A.8.26</t>
        </is>
      </c>
      <c r="E396" s="157" t="inlineStr">
        <is>
          <t>Application security requirements</t>
        </is>
      </c>
      <c r="F396" s="157" t="inlineStr">
        <is>
          <t>AI-CTRL-005, AI-CTRL-020, AI-CTRL-021</t>
        </is>
      </c>
      <c r="G396" s="157" t="inlineStr">
        <is>
          <t>AI-R03, AI-R05, AI-R06, AI-R24, AI-R26</t>
        </is>
      </c>
      <c r="H396" s="157" t="inlineStr">
        <is>
          <t>Derived via mapped controls</t>
        </is>
      </c>
      <c r="I396" s="157" t="inlineStr"/>
      <c r="J396" s="157" t="inlineStr">
        <is>
          <t>Test cases under those controls: 86</t>
        </is>
      </c>
      <c r="K396" s="157" t="inlineStr">
        <is>
          <t>https://nachi065.github.io/AI-Security-Wiki/23_Framework_Crosswalks/08_ISO_IEC_27001_Crosswalk.html</t>
        </is>
      </c>
    </row>
    <row r="397">
      <c r="A397" s="6" t="inlineStr">
        <is>
          <t>ISO/IEC standards</t>
        </is>
      </c>
      <c r="B397" s="6" t="inlineStr">
        <is>
          <t>ISO/IEC 27001:2022 Annex A</t>
        </is>
      </c>
      <c r="C397" s="6" t="inlineStr">
        <is>
          <t>Annex A controls</t>
        </is>
      </c>
      <c r="D397" s="6" t="inlineStr">
        <is>
          <t>A.8.27</t>
        </is>
      </c>
      <c r="E397" s="6" t="inlineStr">
        <is>
          <t>Secure system architecture and engineering principles</t>
        </is>
      </c>
      <c r="F397" s="6" t="inlineStr">
        <is>
          <t>AI-CTRL-005, AI-CTRL-027, AI-CTRL-033</t>
        </is>
      </c>
      <c r="G397" s="6" t="inlineStr">
        <is>
          <t>AI-R05, AI-R06, AI-R07, AI-R08, AI-R14, AI-R16, AI-R21, AI-R22, AI-R24, AI-R25, AI-R55</t>
        </is>
      </c>
      <c r="H397" s="6" t="inlineStr">
        <is>
          <t>Derived via mapped controls</t>
        </is>
      </c>
      <c r="I397" s="6" t="inlineStr"/>
      <c r="J397" s="6" t="inlineStr">
        <is>
          <t>Test cases under those controls: 72</t>
        </is>
      </c>
      <c r="K397" s="6" t="inlineStr">
        <is>
          <t>https://nachi065.github.io/AI-Security-Wiki/23_Framework_Crosswalks/08_ISO_IEC_27001_Crosswalk.html</t>
        </is>
      </c>
    </row>
    <row r="398">
      <c r="A398" s="157" t="inlineStr">
        <is>
          <t>ISO/IEC standards</t>
        </is>
      </c>
      <c r="B398" s="157" t="inlineStr">
        <is>
          <t>ISO/IEC 27001:2022 Annex A</t>
        </is>
      </c>
      <c r="C398" s="157" t="inlineStr">
        <is>
          <t>Annex A controls</t>
        </is>
      </c>
      <c r="D398" s="157" t="inlineStr">
        <is>
          <t>A.8.28</t>
        </is>
      </c>
      <c r="E398" s="157" t="inlineStr">
        <is>
          <t>Secure coding</t>
        </is>
      </c>
      <c r="F398" s="157" t="inlineStr">
        <is>
          <t>AI-CTRL-004, AI-CTRL-020</t>
        </is>
      </c>
      <c r="G398" s="157" t="inlineStr">
        <is>
          <t>AI-R04, AI-R05, AI-R06, AI-R22, AI-R24, AI-R26</t>
        </is>
      </c>
      <c r="H398" s="157" t="inlineStr">
        <is>
          <t>Derived via mapped controls</t>
        </is>
      </c>
      <c r="I398" s="157" t="inlineStr"/>
      <c r="J398" s="157" t="inlineStr">
        <is>
          <t>Test cases under those controls: 33</t>
        </is>
      </c>
      <c r="K398" s="157" t="inlineStr">
        <is>
          <t>https://nachi065.github.io/AI-Security-Wiki/23_Framework_Crosswalks/08_ISO_IEC_27001_Crosswalk.html</t>
        </is>
      </c>
    </row>
    <row r="399">
      <c r="A399" s="6" t="inlineStr">
        <is>
          <t>ISO/IEC standards</t>
        </is>
      </c>
      <c r="B399" s="6" t="inlineStr">
        <is>
          <t>ISO/IEC 27001:2022 Annex A</t>
        </is>
      </c>
      <c r="C399" s="6" t="inlineStr">
        <is>
          <t>Annex A controls</t>
        </is>
      </c>
      <c r="D399" s="6" t="inlineStr">
        <is>
          <t>A.8.29</t>
        </is>
      </c>
      <c r="E399" s="6" t="inlineStr">
        <is>
          <t>Security testing in development and acceptance</t>
        </is>
      </c>
      <c r="F399" s="6" t="inlineStr">
        <is>
          <t>AI-CTRL-030, AI-CTRL-033, AI-CTRL-034</t>
        </is>
      </c>
      <c r="G399" s="6" t="inlineStr">
        <is>
          <t>AI-R05, AI-R07, AI-R08, AI-R14, AI-R16, AI-R17, AI-R20, AI-R55</t>
        </is>
      </c>
      <c r="H399" s="6" t="inlineStr">
        <is>
          <t>Derived via mapped controls</t>
        </is>
      </c>
      <c r="I399" s="6" t="inlineStr"/>
      <c r="J399" s="6" t="inlineStr">
        <is>
          <t>Test cases under those controls: 59</t>
        </is>
      </c>
      <c r="K399" s="6" t="inlineStr">
        <is>
          <t>https://nachi065.github.io/AI-Security-Wiki/23_Framework_Crosswalks/08_ISO_IEC_27001_Crosswalk.html</t>
        </is>
      </c>
    </row>
    <row r="400">
      <c r="A400" s="157" t="inlineStr">
        <is>
          <t>ISO/IEC standards</t>
        </is>
      </c>
      <c r="B400" s="157" t="inlineStr">
        <is>
          <t>ISO/IEC 27001:2022 Annex A</t>
        </is>
      </c>
      <c r="C400" s="157" t="inlineStr">
        <is>
          <t>Annex A controls</t>
        </is>
      </c>
      <c r="D400" s="157" t="inlineStr">
        <is>
          <t>A.8.30</t>
        </is>
      </c>
      <c r="E400" s="157" t="inlineStr">
        <is>
          <t>Outsourced development</t>
        </is>
      </c>
      <c r="F400" s="157" t="inlineStr">
        <is>
          <t>AI-CTRL-031</t>
        </is>
      </c>
      <c r="G400" s="157" t="inlineStr">
        <is>
          <t>AI-R08, AI-R16, AI-R23</t>
        </is>
      </c>
      <c r="H400" s="157" t="inlineStr">
        <is>
          <t>Derived via mapped controls</t>
        </is>
      </c>
      <c r="I400" s="157" t="inlineStr"/>
      <c r="J400" s="157" t="inlineStr">
        <is>
          <t>Test cases under those controls: 25</t>
        </is>
      </c>
      <c r="K400" s="157" t="inlineStr">
        <is>
          <t>https://nachi065.github.io/AI-Security-Wiki/23_Framework_Crosswalks/08_ISO_IEC_27001_Crosswalk.html</t>
        </is>
      </c>
    </row>
    <row r="401">
      <c r="A401" s="6" t="inlineStr">
        <is>
          <t>ISO/IEC standards</t>
        </is>
      </c>
      <c r="B401" s="6" t="inlineStr">
        <is>
          <t>ISO/IEC 27001:2022 Annex A</t>
        </is>
      </c>
      <c r="C401" s="6" t="inlineStr">
        <is>
          <t>Annex A controls</t>
        </is>
      </c>
      <c r="D401" s="6" t="inlineStr">
        <is>
          <t>A.8.31</t>
        </is>
      </c>
      <c r="E401" s="6" t="inlineStr">
        <is>
          <t>Separation of development, test and production environments</t>
        </is>
      </c>
      <c r="F401" s="6" t="inlineStr">
        <is>
          <t>AI-CTRL-027, AI-CTRL-030</t>
        </is>
      </c>
      <c r="G401" s="6" t="inlineStr">
        <is>
          <t>AI-R07, AI-R08, AI-R21, AI-R22, AI-R25, AI-R55</t>
        </is>
      </c>
      <c r="H401" s="6" t="inlineStr">
        <is>
          <t>Derived via mapped controls</t>
        </is>
      </c>
      <c r="I401" s="6" t="inlineStr"/>
      <c r="J401" s="6" t="inlineStr">
        <is>
          <t>Test cases under those controls: 28</t>
        </is>
      </c>
      <c r="K401" s="6" t="inlineStr">
        <is>
          <t>https://nachi065.github.io/AI-Security-Wiki/23_Framework_Crosswalks/08_ISO_IEC_27001_Crosswalk.html</t>
        </is>
      </c>
    </row>
    <row r="402">
      <c r="A402" s="157" t="inlineStr">
        <is>
          <t>ISO/IEC standards</t>
        </is>
      </c>
      <c r="B402" s="157" t="inlineStr">
        <is>
          <t>ISO/IEC 27001:2022 Annex A</t>
        </is>
      </c>
      <c r="C402" s="157" t="inlineStr">
        <is>
          <t>Annex A controls</t>
        </is>
      </c>
      <c r="D402" s="157" t="inlineStr">
        <is>
          <t>A.8.32</t>
        </is>
      </c>
      <c r="E402" s="157" t="inlineStr">
        <is>
          <t>Change management</t>
        </is>
      </c>
      <c r="F402" s="157" t="inlineStr">
        <is>
          <t>AI-CTRL-019, AI-CTRL-024, AI-CTRL-030, AI-CTRL-033</t>
        </is>
      </c>
      <c r="G402" s="157" t="inlineStr">
        <is>
          <t>AI-R05, AI-R07, AI-R08, AI-R14, AI-R16, AI-R17, AI-R23, AI-R24, AI-R55</t>
        </is>
      </c>
      <c r="H402" s="157" t="inlineStr">
        <is>
          <t>Derived via mapped controls</t>
        </is>
      </c>
      <c r="I402" s="157" t="inlineStr"/>
      <c r="J402" s="157" t="inlineStr">
        <is>
          <t>Test cases under those controls: 54</t>
        </is>
      </c>
      <c r="K402" s="157" t="inlineStr">
        <is>
          <t>https://nachi065.github.io/AI-Security-Wiki/23_Framework_Crosswalks/08_ISO_IEC_27001_Crosswalk.html</t>
        </is>
      </c>
    </row>
    <row r="403">
      <c r="A403" s="6" t="inlineStr">
        <is>
          <t>ISO/IEC standards</t>
        </is>
      </c>
      <c r="B403" s="6" t="inlineStr">
        <is>
          <t>ISO/IEC 27001:2022 Annex A</t>
        </is>
      </c>
      <c r="C403" s="6" t="inlineStr">
        <is>
          <t>Annex A controls</t>
        </is>
      </c>
      <c r="D403" s="6" t="inlineStr">
        <is>
          <t>A.8.33</t>
        </is>
      </c>
      <c r="E403" s="6" t="inlineStr">
        <is>
          <t>Test information</t>
        </is>
      </c>
      <c r="F403" s="6" t="inlineStr">
        <is>
          <t>AI-CTRL-017, AI-CTRL-029</t>
        </is>
      </c>
      <c r="G403" s="6" t="inlineStr">
        <is>
          <t>AI-R01, AI-R03, AI-R06, AI-R08, AI-R17</t>
        </is>
      </c>
      <c r="H403" s="6" t="inlineStr">
        <is>
          <t>Derived via mapped controls</t>
        </is>
      </c>
      <c r="I403" s="6" t="inlineStr"/>
      <c r="J403" s="6" t="inlineStr">
        <is>
          <t>Test cases under those controls: 56</t>
        </is>
      </c>
      <c r="K403" s="6" t="inlineStr">
        <is>
          <t>https://nachi065.github.io/AI-Security-Wiki/23_Framework_Crosswalks/08_ISO_IEC_27001_Crosswalk.html</t>
        </is>
      </c>
    </row>
    <row r="404">
      <c r="A404" s="157" t="inlineStr">
        <is>
          <t>ISO/IEC standards</t>
        </is>
      </c>
      <c r="B404" s="157" t="inlineStr">
        <is>
          <t>ISO/IEC 27001:2022 Annex A</t>
        </is>
      </c>
      <c r="C404" s="157" t="inlineStr">
        <is>
          <t>Annex A controls</t>
        </is>
      </c>
      <c r="D404" s="157" t="inlineStr">
        <is>
          <t>A.8.34</t>
        </is>
      </c>
      <c r="E404" s="157" t="inlineStr">
        <is>
          <t>Protection of information systems during audit testing</t>
        </is>
      </c>
      <c r="F404" s="157" t="inlineStr">
        <is>
          <t>AI-CTRL-034</t>
        </is>
      </c>
      <c r="G404" s="157" t="inlineStr">
        <is>
          <t>AI-R05, AI-R07, AI-R16, AI-R17, AI-R20</t>
        </is>
      </c>
      <c r="H404" s="157" t="inlineStr">
        <is>
          <t>Derived via mapped controls</t>
        </is>
      </c>
      <c r="I404" s="157" t="inlineStr"/>
      <c r="J404" s="157" t="inlineStr">
        <is>
          <t>Test cases under those controls: 38</t>
        </is>
      </c>
      <c r="K404" s="157" t="inlineStr">
        <is>
          <t>https://nachi065.github.io/AI-Security-Wiki/23_Framework_Crosswalks/08_ISO_IEC_27001_Crosswalk.html</t>
        </is>
      </c>
    </row>
    <row r="405">
      <c r="A405" s="6" t="inlineStr">
        <is>
          <t>ISO/IEC standards</t>
        </is>
      </c>
      <c r="B405" s="6" t="inlineStr">
        <is>
          <t>ISO/IEC 27001 clauses</t>
        </is>
      </c>
      <c r="C405" s="6" t="inlineStr">
        <is>
          <t>Management system clauses</t>
        </is>
      </c>
      <c r="D405" s="6" t="inlineStr">
        <is>
          <t>Clause 6.1.2</t>
        </is>
      </c>
      <c r="E405" s="6" t="inlineStr">
        <is>
          <t>Information security risk assessment</t>
        </is>
      </c>
      <c r="F405" s="6" t="inlineStr">
        <is>
          <t>AI-CTRL-037</t>
        </is>
      </c>
      <c r="G405" s="6" t="inlineStr">
        <is>
          <t>AI-R02, AI-R18, AI-R28, AI-R55</t>
        </is>
      </c>
      <c r="H405" s="6" t="inlineStr">
        <is>
          <t>Derived via mapped controls</t>
        </is>
      </c>
      <c r="I405" s="6" t="inlineStr"/>
      <c r="J405" s="6" t="inlineStr">
        <is>
          <t>Test cases under those controls: 10</t>
        </is>
      </c>
      <c r="K405" s="6" t="inlineStr">
        <is>
          <t>https://nachi065.github.io/AI-Security-Wiki/23_Framework_Crosswalks/08_ISO_IEC_27001_Crosswalk.html</t>
        </is>
      </c>
    </row>
    <row r="406">
      <c r="A406" s="157" t="inlineStr">
        <is>
          <t>ISO/IEC standards</t>
        </is>
      </c>
      <c r="B406" s="157" t="inlineStr">
        <is>
          <t>ISO/IEC 27001 clauses</t>
        </is>
      </c>
      <c r="C406" s="157" t="inlineStr">
        <is>
          <t>Management system clauses</t>
        </is>
      </c>
      <c r="D406" s="157" t="inlineStr">
        <is>
          <t>Clause 6.1.3</t>
        </is>
      </c>
      <c r="E406" s="157" t="inlineStr">
        <is>
          <t>Information security risk treatment</t>
        </is>
      </c>
      <c r="F406" s="157" t="inlineStr">
        <is>
          <t>AI-CTRL-037</t>
        </is>
      </c>
      <c r="G406" s="157" t="inlineStr">
        <is>
          <t>AI-R02, AI-R18, AI-R28, AI-R55</t>
        </is>
      </c>
      <c r="H406" s="157" t="inlineStr">
        <is>
          <t>Derived via mapped controls</t>
        </is>
      </c>
      <c r="I406" s="157" t="inlineStr"/>
      <c r="J406" s="157" t="inlineStr">
        <is>
          <t>Test cases under those controls: 10</t>
        </is>
      </c>
      <c r="K406" s="157" t="inlineStr">
        <is>
          <t>https://nachi065.github.io/AI-Security-Wiki/23_Framework_Crosswalks/08_ISO_IEC_27001_Crosswalk.html</t>
        </is>
      </c>
    </row>
    <row r="407">
      <c r="A407" s="6" t="inlineStr">
        <is>
          <t>ISO/IEC standards</t>
        </is>
      </c>
      <c r="B407" s="6" t="inlineStr">
        <is>
          <t>ISO/IEC 27001 clauses</t>
        </is>
      </c>
      <c r="C407" s="6" t="inlineStr">
        <is>
          <t>Management system clauses</t>
        </is>
      </c>
      <c r="D407" s="6" t="inlineStr">
        <is>
          <t>Clause 9.2</t>
        </is>
      </c>
      <c r="E407" s="6" t="inlineStr">
        <is>
          <t>Internal audit</t>
        </is>
      </c>
      <c r="F407" s="6" t="inlineStr">
        <is>
          <t>AI-CTRL-038</t>
        </is>
      </c>
      <c r="G407" s="6" t="inlineStr">
        <is>
          <t>AI-R09, AI-R15, AI-R28</t>
        </is>
      </c>
      <c r="H407" s="6" t="inlineStr">
        <is>
          <t>Derived via mapped controls</t>
        </is>
      </c>
      <c r="I407" s="6" t="inlineStr"/>
      <c r="J407" s="6" t="inlineStr">
        <is>
          <t>Test cases under those controls: 17</t>
        </is>
      </c>
      <c r="K407" s="6" t="inlineStr">
        <is>
          <t>https://nachi065.github.io/AI-Security-Wiki/23_Framework_Crosswalks/08_ISO_IEC_27001_Crosswalk.html</t>
        </is>
      </c>
    </row>
    <row r="408">
      <c r="A408" s="157" t="inlineStr">
        <is>
          <t>Security baselines</t>
        </is>
      </c>
      <c r="B408" s="157" t="inlineStr">
        <is>
          <t>NIST CSF</t>
        </is>
      </c>
      <c r="C408" s="157" t="inlineStr">
        <is>
          <t>Categories</t>
        </is>
      </c>
      <c r="D408" s="157" t="inlineStr">
        <is>
          <t>GV.OC</t>
        </is>
      </c>
      <c r="E408" s="157" t="inlineStr">
        <is>
          <t>Organizational Context</t>
        </is>
      </c>
      <c r="F408" s="157" t="inlineStr">
        <is>
          <t>AI-CTRL-007, AI-CTRL-013, AI-CTRL-042, AI-CTRL-043, AI-CTRL-046</t>
        </is>
      </c>
      <c r="G408" s="157" t="inlineStr">
        <is>
          <t>AI-R03, AI-R09, AI-R10, AI-R12, AI-R27, AI-R28</t>
        </is>
      </c>
      <c r="H408" s="157" t="inlineStr">
        <is>
          <t>Derived via mapped controls</t>
        </is>
      </c>
      <c r="I408" s="157" t="inlineStr"/>
      <c r="J408" s="157" t="inlineStr">
        <is>
          <t>Test cases under those controls: 61</t>
        </is>
      </c>
      <c r="K408" s="157" t="inlineStr">
        <is>
          <t>https://nachi065.github.io/AI-Security-Wiki/23_Framework_Crosswalks/09_NIST_CSF_Crosswalk.html</t>
        </is>
      </c>
    </row>
    <row r="409">
      <c r="A409" s="6" t="inlineStr">
        <is>
          <t>Security baselines</t>
        </is>
      </c>
      <c r="B409" s="6" t="inlineStr">
        <is>
          <t>NIST CSF</t>
        </is>
      </c>
      <c r="C409" s="6" t="inlineStr">
        <is>
          <t>Categories</t>
        </is>
      </c>
      <c r="D409" s="6" t="inlineStr">
        <is>
          <t>GV.RM</t>
        </is>
      </c>
      <c r="E409" s="6" t="inlineStr">
        <is>
          <t>Risk Management Strategy</t>
        </is>
      </c>
      <c r="F409" s="6" t="inlineStr">
        <is>
          <t>AI-CTRL-011, AI-CTRL-037</t>
        </is>
      </c>
      <c r="G409" s="6" t="inlineStr">
        <is>
          <t>AI-R02, AI-R18, AI-R28, AI-R55</t>
        </is>
      </c>
      <c r="H409" s="6" t="inlineStr">
        <is>
          <t>Derived via mapped controls</t>
        </is>
      </c>
      <c r="I409" s="6" t="inlineStr"/>
      <c r="J409" s="6" t="inlineStr">
        <is>
          <t>Test cases under those controls: 29</t>
        </is>
      </c>
      <c r="K409" s="6" t="inlineStr">
        <is>
          <t>https://nachi065.github.io/AI-Security-Wiki/23_Framework_Crosswalks/09_NIST_CSF_Crosswalk.html</t>
        </is>
      </c>
    </row>
    <row r="410">
      <c r="A410" s="157" t="inlineStr">
        <is>
          <t>Security baselines</t>
        </is>
      </c>
      <c r="B410" s="157" t="inlineStr">
        <is>
          <t>NIST CSF</t>
        </is>
      </c>
      <c r="C410" s="157" t="inlineStr">
        <is>
          <t>Categories</t>
        </is>
      </c>
      <c r="D410" s="157" t="inlineStr">
        <is>
          <t>GV.RR</t>
        </is>
      </c>
      <c r="E410" s="157" t="inlineStr">
        <is>
          <t>Roles, Responsibilities, and Authorities</t>
        </is>
      </c>
      <c r="F410" s="157" t="inlineStr">
        <is>
          <t>AI-CTRL-012, AI-CTRL-045</t>
        </is>
      </c>
      <c r="G410" s="157" t="inlineStr">
        <is>
          <t>AI-R02, AI-R03, AI-R07, AI-R12, AI-R14, AI-R18, AI-R19, AI-R27, AI-R28</t>
        </is>
      </c>
      <c r="H410" s="157" t="inlineStr">
        <is>
          <t>Derived via mapped controls</t>
        </is>
      </c>
      <c r="I410" s="157" t="inlineStr"/>
      <c r="J410" s="157" t="inlineStr">
        <is>
          <t>Test cases under those controls: 12</t>
        </is>
      </c>
      <c r="K410" s="157" t="inlineStr">
        <is>
          <t>https://nachi065.github.io/AI-Security-Wiki/23_Framework_Crosswalks/09_NIST_CSF_Crosswalk.html</t>
        </is>
      </c>
    </row>
    <row r="411">
      <c r="A411" s="6" t="inlineStr">
        <is>
          <t>Security baselines</t>
        </is>
      </c>
      <c r="B411" s="6" t="inlineStr">
        <is>
          <t>NIST CSF</t>
        </is>
      </c>
      <c r="C411" s="6" t="inlineStr">
        <is>
          <t>Categories</t>
        </is>
      </c>
      <c r="D411" s="6" t="inlineStr">
        <is>
          <t>GV.PO</t>
        </is>
      </c>
      <c r="E411" s="6" t="inlineStr">
        <is>
          <t>Policy</t>
        </is>
      </c>
      <c r="F411" s="6" t="inlineStr">
        <is>
          <t>AI-CTRL-010, AI-CTRL-012</t>
        </is>
      </c>
      <c r="G411" s="6" t="inlineStr">
        <is>
          <t>AI-R01, AI-R02, AI-R03, AI-R18, AI-R19, AI-R27, AI-R28</t>
        </is>
      </c>
      <c r="H411" s="6" t="inlineStr">
        <is>
          <t>Derived via mapped controls</t>
        </is>
      </c>
      <c r="I411" s="6" t="inlineStr"/>
      <c r="J411" s="6" t="inlineStr">
        <is>
          <t>Test cases under those controls: 34</t>
        </is>
      </c>
      <c r="K411" s="6" t="inlineStr">
        <is>
          <t>https://nachi065.github.io/AI-Security-Wiki/23_Framework_Crosswalks/09_NIST_CSF_Crosswalk.html</t>
        </is>
      </c>
    </row>
    <row r="412">
      <c r="A412" s="157" t="inlineStr">
        <is>
          <t>Security baselines</t>
        </is>
      </c>
      <c r="B412" s="157" t="inlineStr">
        <is>
          <t>NIST CSF</t>
        </is>
      </c>
      <c r="C412" s="157" t="inlineStr">
        <is>
          <t>Categories</t>
        </is>
      </c>
      <c r="D412" s="157" t="inlineStr">
        <is>
          <t>GV.OV</t>
        </is>
      </c>
      <c r="E412" s="157" t="inlineStr">
        <is>
          <t>Oversight</t>
        </is>
      </c>
      <c r="F412" s="157" t="inlineStr">
        <is>
          <t>AI-CTRL-038</t>
        </is>
      </c>
      <c r="G412" s="157" t="inlineStr">
        <is>
          <t>AI-R09, AI-R15, AI-R28</t>
        </is>
      </c>
      <c r="H412" s="157" t="inlineStr">
        <is>
          <t>Derived via mapped controls</t>
        </is>
      </c>
      <c r="I412" s="157" t="inlineStr"/>
      <c r="J412" s="157" t="inlineStr">
        <is>
          <t>Test cases under those controls: 17</t>
        </is>
      </c>
      <c r="K412" s="157" t="inlineStr">
        <is>
          <t>https://nachi065.github.io/AI-Security-Wiki/23_Framework_Crosswalks/09_NIST_CSF_Crosswalk.html</t>
        </is>
      </c>
    </row>
    <row r="413">
      <c r="A413" s="6" t="inlineStr">
        <is>
          <t>Security baselines</t>
        </is>
      </c>
      <c r="B413" s="6" t="inlineStr">
        <is>
          <t>NIST CSF</t>
        </is>
      </c>
      <c r="C413" s="6" t="inlineStr">
        <is>
          <t>Categories</t>
        </is>
      </c>
      <c r="D413" s="6" t="inlineStr">
        <is>
          <t>GV.SC</t>
        </is>
      </c>
      <c r="E413" s="6" t="inlineStr">
        <is>
          <t>Cybersecurity Supply Chain Risk Management</t>
        </is>
      </c>
      <c r="F413" s="6" t="inlineStr">
        <is>
          <t>AI-CTRL-007, AI-CTRL-014, AI-CTRL-024, AI-CTRL-029, AI-CTRL-031</t>
        </is>
      </c>
      <c r="G413" s="6" t="inlineStr">
        <is>
          <t>AI-R07, AI-R08, AI-R10, AI-R16, AI-R23, AI-R24</t>
        </is>
      </c>
      <c r="H413" s="6" t="inlineStr">
        <is>
          <t>Derived via mapped controls</t>
        </is>
      </c>
      <c r="I413" s="6" t="inlineStr"/>
      <c r="J413" s="6" t="inlineStr">
        <is>
          <t>Test cases under those controls: 94</t>
        </is>
      </c>
      <c r="K413" s="6" t="inlineStr">
        <is>
          <t>https://nachi065.github.io/AI-Security-Wiki/23_Framework_Crosswalks/09_NIST_CSF_Crosswalk.html</t>
        </is>
      </c>
    </row>
    <row r="414">
      <c r="A414" s="157" t="inlineStr">
        <is>
          <t>Security baselines</t>
        </is>
      </c>
      <c r="B414" s="157" t="inlineStr">
        <is>
          <t>NIST CSF</t>
        </is>
      </c>
      <c r="C414" s="157" t="inlineStr">
        <is>
          <t>Categories</t>
        </is>
      </c>
      <c r="D414" s="157" t="inlineStr">
        <is>
          <t>ID.AM</t>
        </is>
      </c>
      <c r="E414" s="157" t="inlineStr">
        <is>
          <t>Asset Management</t>
        </is>
      </c>
      <c r="F414" s="157" t="inlineStr">
        <is>
          <t>AI-CTRL-001, AI-CTRL-011, AI-CTRL-017, AI-CTRL-029, AI-CTRL-031</t>
        </is>
      </c>
      <c r="G414" s="157" t="inlineStr">
        <is>
          <t>AI-R01, AI-R02, AI-R03, AI-R06, AI-R08, AI-R16, AI-R17, AI-R18, AI-R23</t>
        </is>
      </c>
      <c r="H414" s="157" t="inlineStr">
        <is>
          <t>Derived via mapped controls</t>
        </is>
      </c>
      <c r="I414" s="157" t="inlineStr"/>
      <c r="J414" s="157" t="inlineStr">
        <is>
          <t>Test cases under those controls: 128</t>
        </is>
      </c>
      <c r="K414" s="157" t="inlineStr">
        <is>
          <t>https://nachi065.github.io/AI-Security-Wiki/23_Framework_Crosswalks/09_NIST_CSF_Crosswalk.html</t>
        </is>
      </c>
    </row>
    <row r="415">
      <c r="A415" s="6" t="inlineStr">
        <is>
          <t>Security baselines</t>
        </is>
      </c>
      <c r="B415" s="6" t="inlineStr">
        <is>
          <t>NIST CSF</t>
        </is>
      </c>
      <c r="C415" s="6" t="inlineStr">
        <is>
          <t>Categories</t>
        </is>
      </c>
      <c r="D415" s="6" t="inlineStr">
        <is>
          <t>ID.RA</t>
        </is>
      </c>
      <c r="E415" s="6" t="inlineStr">
        <is>
          <t>Risk Assessment</t>
        </is>
      </c>
      <c r="F415" s="6" t="inlineStr">
        <is>
          <t>AI-CTRL-011, AI-CTRL-031, AI-CTRL-033, AI-CTRL-034, AI-CTRL-037, AI-CTRL-042</t>
        </is>
      </c>
      <c r="G415" s="6" t="inlineStr">
        <is>
          <t>AI-R02, AI-R05, AI-R07, AI-R08, AI-R10, AI-R12, AI-R14, AI-R16, AI-R17, AI-R18, AI-R20, AI-R23, AI-R28, AI-R55</t>
        </is>
      </c>
      <c r="H415" s="6" t="inlineStr">
        <is>
          <t>Derived via mapped controls</t>
        </is>
      </c>
      <c r="I415" s="6" t="inlineStr"/>
      <c r="J415" s="6" t="inlineStr">
        <is>
          <t>Test cases under those controls: 101</t>
        </is>
      </c>
      <c r="K415" s="6" t="inlineStr">
        <is>
          <t>https://nachi065.github.io/AI-Security-Wiki/23_Framework_Crosswalks/09_NIST_CSF_Crosswalk.html</t>
        </is>
      </c>
    </row>
    <row r="416">
      <c r="A416" s="157" t="inlineStr">
        <is>
          <t>Security baselines</t>
        </is>
      </c>
      <c r="B416" s="157" t="inlineStr">
        <is>
          <t>NIST CSF</t>
        </is>
      </c>
      <c r="C416" s="157" t="inlineStr">
        <is>
          <t>Categories</t>
        </is>
      </c>
      <c r="D416" s="157" t="inlineStr">
        <is>
          <t>ID.IM</t>
        </is>
      </c>
      <c r="E416" s="157" t="inlineStr">
        <is>
          <t>Improvement</t>
        </is>
      </c>
      <c r="F416" s="157" t="inlineStr">
        <is>
          <t>AI-CTRL-034, AI-CTRL-038</t>
        </is>
      </c>
      <c r="G416" s="157" t="inlineStr">
        <is>
          <t>AI-R05, AI-R07, AI-R09, AI-R15, AI-R16, AI-R17, AI-R20, AI-R28</t>
        </is>
      </c>
      <c r="H416" s="157" t="inlineStr">
        <is>
          <t>Derived via mapped controls</t>
        </is>
      </c>
      <c r="I416" s="157" t="inlineStr"/>
      <c r="J416" s="157" t="inlineStr">
        <is>
          <t>Test cases under those controls: 55</t>
        </is>
      </c>
      <c r="K416" s="157" t="inlineStr">
        <is>
          <t>https://nachi065.github.io/AI-Security-Wiki/23_Framework_Crosswalks/09_NIST_CSF_Crosswalk.html</t>
        </is>
      </c>
    </row>
    <row r="417">
      <c r="A417" s="6" t="inlineStr">
        <is>
          <t>Security baselines</t>
        </is>
      </c>
      <c r="B417" s="6" t="inlineStr">
        <is>
          <t>NIST CSF</t>
        </is>
      </c>
      <c r="C417" s="6" t="inlineStr">
        <is>
          <t>Categories</t>
        </is>
      </c>
      <c r="D417" s="6" t="inlineStr">
        <is>
          <t>PR.AA</t>
        </is>
      </c>
      <c r="E417" s="6" t="inlineStr">
        <is>
          <t>Identity Management, Authentication, and Access Control</t>
        </is>
      </c>
      <c r="F417" s="6" t="inlineStr">
        <is>
          <t>AI-CTRL-006, AI-CTRL-015, AI-CTRL-016, AI-CTRL-018, AI-CTRL-022, AI-CTRL-023, AI-CTRL-028, AI-CTRL-030</t>
        </is>
      </c>
      <c r="G417" s="6" t="inlineStr">
        <is>
          <t>AI-R06, AI-R07, AI-R08, AI-R19, AI-R22, AI-R24, AI-R25</t>
        </is>
      </c>
      <c r="H417" s="6" t="inlineStr">
        <is>
          <t>Derived via mapped controls</t>
        </is>
      </c>
      <c r="I417" s="6" t="inlineStr"/>
      <c r="J417" s="6" t="inlineStr">
        <is>
          <t>Test cases under those controls: 166</t>
        </is>
      </c>
      <c r="K417" s="6" t="inlineStr">
        <is>
          <t>https://nachi065.github.io/AI-Security-Wiki/23_Framework_Crosswalks/09_NIST_CSF_Crosswalk.html</t>
        </is>
      </c>
    </row>
    <row r="418">
      <c r="A418" s="157" t="inlineStr">
        <is>
          <t>Security baselines</t>
        </is>
      </c>
      <c r="B418" s="157" t="inlineStr">
        <is>
          <t>NIST CSF</t>
        </is>
      </c>
      <c r="C418" s="157" t="inlineStr">
        <is>
          <t>Categories</t>
        </is>
      </c>
      <c r="D418" s="157" t="inlineStr">
        <is>
          <t>PR.AT</t>
        </is>
      </c>
      <c r="E418" s="157" t="inlineStr">
        <is>
          <t>Awareness and Training</t>
        </is>
      </c>
      <c r="F418" s="157" t="inlineStr">
        <is>
          <t>AI-CTRL-044</t>
        </is>
      </c>
      <c r="G418" s="157" t="inlineStr">
        <is>
          <t>AI-R02, AI-R19</t>
        </is>
      </c>
      <c r="H418" s="157" t="inlineStr">
        <is>
          <t>Derived via mapped controls</t>
        </is>
      </c>
      <c r="I418" s="157" t="inlineStr"/>
      <c r="J418" s="157" t="inlineStr">
        <is>
          <t>Test cases under those controls: 3</t>
        </is>
      </c>
      <c r="K418" s="157" t="inlineStr">
        <is>
          <t>https://nachi065.github.io/AI-Security-Wiki/23_Framework_Crosswalks/09_NIST_CSF_Crosswalk.html</t>
        </is>
      </c>
    </row>
    <row r="419">
      <c r="A419" s="6" t="inlineStr">
        <is>
          <t>Security baselines</t>
        </is>
      </c>
      <c r="B419" s="6" t="inlineStr">
        <is>
          <t>NIST CSF</t>
        </is>
      </c>
      <c r="C419" s="6" t="inlineStr">
        <is>
          <t>Categories</t>
        </is>
      </c>
      <c r="D419" s="6" t="inlineStr">
        <is>
          <t>PR.DS</t>
        </is>
      </c>
      <c r="E419" s="6" t="inlineStr">
        <is>
          <t>Data Security</t>
        </is>
      </c>
      <c r="F419" s="6" t="inlineStr">
        <is>
          <t>AI-CTRL-002, AI-CTRL-003, AI-CTRL-004, AI-CTRL-005, AI-CTRL-007, AI-CTRL-010, AI-CTRL-013, AI-CTRL-017, AI-CTRL-018, AI-CTRL-019, AI-CTRL-021, AI-CTRL-026, AI-CTRL-028, AI-CTRL-029, AI-CTRL-032</t>
        </is>
      </c>
      <c r="G419" s="6" t="inlineStr">
        <is>
          <t>AI-R01, AI-R02, AI-R03, AI-R04, AI-R05, AI-R06, AI-R07, AI-R08, AI-R10, AI-R17, AI-R21, AI-R22, AI-R24, AI-R27, AI-R28</t>
        </is>
      </c>
      <c r="H419" s="6" t="inlineStr">
        <is>
          <t>Derived via mapped controls</t>
        </is>
      </c>
      <c r="I419" s="6" t="inlineStr"/>
      <c r="J419" s="6" t="inlineStr">
        <is>
          <t>Test cases under those controls: 296</t>
        </is>
      </c>
      <c r="K419" s="6" t="inlineStr">
        <is>
          <t>https://nachi065.github.io/AI-Security-Wiki/23_Framework_Crosswalks/09_NIST_CSF_Crosswalk.html</t>
        </is>
      </c>
    </row>
    <row r="420">
      <c r="A420" s="157" t="inlineStr">
        <is>
          <t>Security baselines</t>
        </is>
      </c>
      <c r="B420" s="157" t="inlineStr">
        <is>
          <t>NIST CSF</t>
        </is>
      </c>
      <c r="C420" s="157" t="inlineStr">
        <is>
          <t>Categories</t>
        </is>
      </c>
      <c r="D420" s="157" t="inlineStr">
        <is>
          <t>PR.PS</t>
        </is>
      </c>
      <c r="E420" s="157" t="inlineStr">
        <is>
          <t>Platform Security</t>
        </is>
      </c>
      <c r="F420" s="157" t="inlineStr">
        <is>
          <t>AI-CTRL-004, AI-CTRL-005, AI-CTRL-008, AI-CTRL-020, AI-CTRL-024, AI-CTRL-027, AI-CTRL-030, AI-CTRL-032, AI-CTRL-033</t>
        </is>
      </c>
      <c r="G420" s="157" t="inlineStr">
        <is>
          <t>AI-R04, AI-R05, AI-R06, AI-R07, AI-R08, AI-R09, AI-R10, AI-R14, AI-R15, AI-R16, AI-R21, AI-R22, AI-R23, AI-R24, AI-R25, AI-R26, AI-R55</t>
        </is>
      </c>
      <c r="H420" s="157" t="inlineStr">
        <is>
          <t>Derived via mapped controls</t>
        </is>
      </c>
      <c r="I420" s="157" t="inlineStr"/>
      <c r="J420" s="157" t="inlineStr">
        <is>
          <t>Test cases under those controls: 180</t>
        </is>
      </c>
      <c r="K420" s="157" t="inlineStr">
        <is>
          <t>https://nachi065.github.io/AI-Security-Wiki/23_Framework_Crosswalks/09_NIST_CSF_Crosswalk.html</t>
        </is>
      </c>
    </row>
    <row r="421">
      <c r="A421" s="6" t="inlineStr">
        <is>
          <t>Security baselines</t>
        </is>
      </c>
      <c r="B421" s="6" t="inlineStr">
        <is>
          <t>NIST CSF</t>
        </is>
      </c>
      <c r="C421" s="6" t="inlineStr">
        <is>
          <t>Categories</t>
        </is>
      </c>
      <c r="D421" s="6" t="inlineStr">
        <is>
          <t>PR.IR</t>
        </is>
      </c>
      <c r="E421" s="6" t="inlineStr">
        <is>
          <t>Technology Infrastructure Resilience</t>
        </is>
      </c>
      <c r="F421" s="6" t="inlineStr">
        <is>
          <t>AI-CTRL-027, AI-CTRL-032, AI-CTRL-036, AI-CTRL-040</t>
        </is>
      </c>
      <c r="G421" s="6" t="inlineStr">
        <is>
          <t>AI-R07, AI-R08, AI-R10, AI-R11, AI-R13, AI-R16, AI-R21, AI-R22, AI-R25, AI-R55</t>
        </is>
      </c>
      <c r="H421" s="6" t="inlineStr">
        <is>
          <t>Derived via mapped controls</t>
        </is>
      </c>
      <c r="I421" s="6" t="inlineStr"/>
      <c r="J421" s="6" t="inlineStr">
        <is>
          <t>Test cases under those controls: 83</t>
        </is>
      </c>
      <c r="K421" s="6" t="inlineStr">
        <is>
          <t>https://nachi065.github.io/AI-Security-Wiki/23_Framework_Crosswalks/09_NIST_CSF_Crosswalk.html</t>
        </is>
      </c>
    </row>
    <row r="422">
      <c r="A422" s="157" t="inlineStr">
        <is>
          <t>Security baselines</t>
        </is>
      </c>
      <c r="B422" s="157" t="inlineStr">
        <is>
          <t>NIST CSF</t>
        </is>
      </c>
      <c r="C422" s="157" t="inlineStr">
        <is>
          <t>Categories</t>
        </is>
      </c>
      <c r="D422" s="157" t="inlineStr">
        <is>
          <t>DE.CM</t>
        </is>
      </c>
      <c r="E422" s="157" t="inlineStr">
        <is>
          <t>Continuous Monitoring</t>
        </is>
      </c>
      <c r="F422" s="157" t="inlineStr">
        <is>
          <t>AI-CTRL-001, AI-CTRL-002, AI-CTRL-005, AI-CTRL-006, AI-CTRL-008, AI-CTRL-009, AI-CTRL-021, AI-CTRL-036</t>
        </is>
      </c>
      <c r="G422" s="157" t="inlineStr">
        <is>
          <t>AI-R01, AI-R02, AI-R03, AI-R05, AI-R06, AI-R07, AI-R09, AI-R11, AI-R15, AI-R24, AI-R25, AI-R26, AI-R27</t>
        </is>
      </c>
      <c r="H422" s="157" t="inlineStr">
        <is>
          <t>Derived via mapped controls</t>
        </is>
      </c>
      <c r="I422" s="157" t="inlineStr"/>
      <c r="J422" s="157" t="inlineStr">
        <is>
          <t>Test cases under those controls: 200</t>
        </is>
      </c>
      <c r="K422" s="157" t="inlineStr">
        <is>
          <t>https://nachi065.github.io/AI-Security-Wiki/23_Framework_Crosswalks/09_NIST_CSF_Crosswalk.html</t>
        </is>
      </c>
    </row>
    <row r="423">
      <c r="A423" s="6" t="inlineStr">
        <is>
          <t>Security baselines</t>
        </is>
      </c>
      <c r="B423" s="6" t="inlineStr">
        <is>
          <t>NIST CSF</t>
        </is>
      </c>
      <c r="C423" s="6" t="inlineStr">
        <is>
          <t>Categories</t>
        </is>
      </c>
      <c r="D423" s="6" t="inlineStr">
        <is>
          <t>DE.AE</t>
        </is>
      </c>
      <c r="E423" s="6" t="inlineStr">
        <is>
          <t>Adverse Event Analysis</t>
        </is>
      </c>
      <c r="F423" s="6" t="inlineStr">
        <is>
          <t>AI-CTRL-009, AI-CTRL-035</t>
        </is>
      </c>
      <c r="G423" s="6" t="inlineStr">
        <is>
          <t>AI-R09, AI-R20</t>
        </is>
      </c>
      <c r="H423" s="6" t="inlineStr">
        <is>
          <t>Derived via mapped controls</t>
        </is>
      </c>
      <c r="I423" s="6" t="inlineStr"/>
      <c r="J423" s="6" t="inlineStr">
        <is>
          <t>Test cases under those controls: 60</t>
        </is>
      </c>
      <c r="K423" s="6" t="inlineStr">
        <is>
          <t>https://nachi065.github.io/AI-Security-Wiki/23_Framework_Crosswalks/09_NIST_CSF_Crosswalk.html</t>
        </is>
      </c>
    </row>
    <row r="424">
      <c r="A424" s="157" t="inlineStr">
        <is>
          <t>Security baselines</t>
        </is>
      </c>
      <c r="B424" s="157" t="inlineStr">
        <is>
          <t>NIST CSF</t>
        </is>
      </c>
      <c r="C424" s="157" t="inlineStr">
        <is>
          <t>Categories</t>
        </is>
      </c>
      <c r="D424" s="157" t="inlineStr">
        <is>
          <t>RS.MA</t>
        </is>
      </c>
      <c r="E424" s="157" t="inlineStr">
        <is>
          <t>Incident Management</t>
        </is>
      </c>
      <c r="F424" s="157" t="inlineStr">
        <is>
          <t>AI-CTRL-025, AI-CTRL-035</t>
        </is>
      </c>
      <c r="G424" s="157" t="inlineStr">
        <is>
          <t>AI-R07, AI-R09, AI-R11, AI-R20, AI-R21, AI-R25, AI-R55</t>
        </is>
      </c>
      <c r="H424" s="157" t="inlineStr">
        <is>
          <t>Derived via mapped controls</t>
        </is>
      </c>
      <c r="I424" s="157" t="inlineStr"/>
      <c r="J424" s="157" t="inlineStr">
        <is>
          <t>Test cases under those controls: 51</t>
        </is>
      </c>
      <c r="K424" s="157" t="inlineStr">
        <is>
          <t>https://nachi065.github.io/AI-Security-Wiki/23_Framework_Crosswalks/09_NIST_CSF_Crosswalk.html</t>
        </is>
      </c>
    </row>
    <row r="425">
      <c r="A425" s="6" t="inlineStr">
        <is>
          <t>Security baselines</t>
        </is>
      </c>
      <c r="B425" s="6" t="inlineStr">
        <is>
          <t>NIST CSF</t>
        </is>
      </c>
      <c r="C425" s="6" t="inlineStr">
        <is>
          <t>Categories</t>
        </is>
      </c>
      <c r="D425" s="6" t="inlineStr">
        <is>
          <t>RS.AN</t>
        </is>
      </c>
      <c r="E425" s="6" t="inlineStr">
        <is>
          <t>Incident Analysis</t>
        </is>
      </c>
      <c r="F425" s="6" t="inlineStr">
        <is>
          <t>AI-CTRL-035</t>
        </is>
      </c>
      <c r="G425" s="6" t="inlineStr">
        <is>
          <t>AI-R09, AI-R20</t>
        </is>
      </c>
      <c r="H425" s="6" t="inlineStr">
        <is>
          <t>Derived via mapped controls</t>
        </is>
      </c>
      <c r="I425" s="6" t="inlineStr"/>
      <c r="J425" s="6" t="inlineStr">
        <is>
          <t>Test cases under those controls: 40</t>
        </is>
      </c>
      <c r="K425" s="6" t="inlineStr">
        <is>
          <t>https://nachi065.github.io/AI-Security-Wiki/23_Framework_Crosswalks/09_NIST_CSF_Crosswalk.html</t>
        </is>
      </c>
    </row>
    <row r="426">
      <c r="A426" s="157" t="inlineStr">
        <is>
          <t>Security baselines</t>
        </is>
      </c>
      <c r="B426" s="157" t="inlineStr">
        <is>
          <t>NIST CSF</t>
        </is>
      </c>
      <c r="C426" s="157" t="inlineStr">
        <is>
          <t>Categories</t>
        </is>
      </c>
      <c r="D426" s="157" t="inlineStr">
        <is>
          <t>RS.CO</t>
        </is>
      </c>
      <c r="E426" s="157" t="inlineStr">
        <is>
          <t>Incident Response Reporting and Communication</t>
        </is>
      </c>
      <c r="F426" s="157" t="inlineStr">
        <is>
          <t>AI-CTRL-035, AI-CTRL-043</t>
        </is>
      </c>
      <c r="G426" s="157" t="inlineStr">
        <is>
          <t>AI-R09, AI-R10, AI-R20</t>
        </is>
      </c>
      <c r="H426" s="157" t="inlineStr">
        <is>
          <t>Derived via mapped controls</t>
        </is>
      </c>
      <c r="I426" s="157" t="inlineStr"/>
      <c r="J426" s="157" t="inlineStr">
        <is>
          <t>Test cases under those controls: 42</t>
        </is>
      </c>
      <c r="K426" s="157" t="inlineStr">
        <is>
          <t>https://nachi065.github.io/AI-Security-Wiki/23_Framework_Crosswalks/09_NIST_CSF_Crosswalk.html</t>
        </is>
      </c>
    </row>
    <row r="427">
      <c r="A427" s="6" t="inlineStr">
        <is>
          <t>Security baselines</t>
        </is>
      </c>
      <c r="B427" s="6" t="inlineStr">
        <is>
          <t>NIST CSF</t>
        </is>
      </c>
      <c r="C427" s="6" t="inlineStr">
        <is>
          <t>Categories</t>
        </is>
      </c>
      <c r="D427" s="6" t="inlineStr">
        <is>
          <t>RS.MI</t>
        </is>
      </c>
      <c r="E427" s="6" t="inlineStr">
        <is>
          <t>Incident Mitigation</t>
        </is>
      </c>
      <c r="F427" s="6" t="inlineStr">
        <is>
          <t>AI-CTRL-025, AI-CTRL-035</t>
        </is>
      </c>
      <c r="G427" s="6" t="inlineStr">
        <is>
          <t>AI-R07, AI-R09, AI-R11, AI-R20, AI-R21, AI-R25, AI-R55</t>
        </is>
      </c>
      <c r="H427" s="6" t="inlineStr">
        <is>
          <t>Derived via mapped controls</t>
        </is>
      </c>
      <c r="I427" s="6" t="inlineStr"/>
      <c r="J427" s="6" t="inlineStr">
        <is>
          <t>Test cases under those controls: 51</t>
        </is>
      </c>
      <c r="K427" s="6" t="inlineStr">
        <is>
          <t>https://nachi065.github.io/AI-Security-Wiki/23_Framework_Crosswalks/09_NIST_CSF_Crosswalk.html</t>
        </is>
      </c>
    </row>
    <row r="428">
      <c r="A428" s="157" t="inlineStr">
        <is>
          <t>Security baselines</t>
        </is>
      </c>
      <c r="B428" s="157" t="inlineStr">
        <is>
          <t>NIST CSF</t>
        </is>
      </c>
      <c r="C428" s="157" t="inlineStr">
        <is>
          <t>Categories</t>
        </is>
      </c>
      <c r="D428" s="157" t="inlineStr">
        <is>
          <t>RC.RP</t>
        </is>
      </c>
      <c r="E428" s="157" t="inlineStr">
        <is>
          <t>Incident Recovery Plan Execution</t>
        </is>
      </c>
      <c r="F428" s="157" t="inlineStr">
        <is>
          <t>AI-CTRL-035, AI-CTRL-040</t>
        </is>
      </c>
      <c r="G428" s="157" t="inlineStr">
        <is>
          <t>AI-R09, AI-R13, AI-R16, AI-R20</t>
        </is>
      </c>
      <c r="H428" s="157" t="inlineStr">
        <is>
          <t>Derived via mapped controls</t>
        </is>
      </c>
      <c r="I428" s="157" t="inlineStr"/>
      <c r="J428" s="157" t="inlineStr">
        <is>
          <t>Test cases under those controls: 54</t>
        </is>
      </c>
      <c r="K428" s="157" t="inlineStr">
        <is>
          <t>https://nachi065.github.io/AI-Security-Wiki/23_Framework_Crosswalks/09_NIST_CSF_Crosswalk.html</t>
        </is>
      </c>
    </row>
    <row r="429">
      <c r="A429" s="6" t="inlineStr">
        <is>
          <t>Security baselines</t>
        </is>
      </c>
      <c r="B429" s="6" t="inlineStr">
        <is>
          <t>NIST CSF</t>
        </is>
      </c>
      <c r="C429" s="6" t="inlineStr">
        <is>
          <t>Categories</t>
        </is>
      </c>
      <c r="D429" s="6" t="inlineStr">
        <is>
          <t>RC.CO</t>
        </is>
      </c>
      <c r="E429" s="6" t="inlineStr"/>
      <c r="F429" s="6" t="inlineStr">
        <is>
          <t>None</t>
        </is>
      </c>
      <c r="G429" s="6" t="inlineStr">
        <is>
          <t>None</t>
        </is>
      </c>
      <c r="H429" s="6" t="inlineStr">
        <is>
          <t>Derived via mapped controls</t>
        </is>
      </c>
      <c r="I429" s="6" t="inlineStr"/>
      <c r="J429" s="6" t="inlineStr">
        <is>
          <t>Wiki controls: None; Test cases under those controls: 0</t>
        </is>
      </c>
      <c r="K429" s="6" t="inlineStr">
        <is>
          <t>https://nachi065.github.io/AI-Security-Wiki/23_Framework_Crosswalks/09_NIST_CSF_Crosswalk.html</t>
        </is>
      </c>
    </row>
    <row r="430">
      <c r="A430" s="157" t="inlineStr">
        <is>
          <t>Security baselines</t>
        </is>
      </c>
      <c r="B430" s="157" t="inlineStr">
        <is>
          <t>CIS Controls</t>
        </is>
      </c>
      <c r="C430" s="157" t="inlineStr">
        <is>
          <t>CIS Controls</t>
        </is>
      </c>
      <c r="D430" s="157" t="inlineStr">
        <is>
          <t>CIS 1</t>
        </is>
      </c>
      <c r="E430" s="157" t="inlineStr">
        <is>
          <t>Inventory and Control of Enterprise Assets</t>
        </is>
      </c>
      <c r="F430" s="157" t="inlineStr">
        <is>
          <t>AI-CTRL-001, AI-CTRL-011</t>
        </is>
      </c>
      <c r="G430" s="157" t="inlineStr">
        <is>
          <t>AI-R02, AI-R18</t>
        </is>
      </c>
      <c r="H430" s="157" t="inlineStr">
        <is>
          <t>Derived via mapped controls</t>
        </is>
      </c>
      <c r="I430" s="157" t="inlineStr"/>
      <c r="J430" s="157" t="inlineStr">
        <is>
          <t>Test cases under those controls: 49</t>
        </is>
      </c>
      <c r="K430" s="157" t="inlineStr">
        <is>
          <t>https://nachi065.github.io/AI-Security-Wiki/23_Framework_Crosswalks/10_CIS_Controls_Crosswalk.html</t>
        </is>
      </c>
    </row>
    <row r="431">
      <c r="A431" s="6" t="inlineStr">
        <is>
          <t>Security baselines</t>
        </is>
      </c>
      <c r="B431" s="6" t="inlineStr">
        <is>
          <t>CIS Controls</t>
        </is>
      </c>
      <c r="C431" s="6" t="inlineStr">
        <is>
          <t>CIS Controls</t>
        </is>
      </c>
      <c r="D431" s="6" t="inlineStr">
        <is>
          <t>CIS 2</t>
        </is>
      </c>
      <c r="E431" s="6" t="inlineStr">
        <is>
          <t>Inventory and Control of Software Assets</t>
        </is>
      </c>
      <c r="F431" s="6" t="inlineStr">
        <is>
          <t>AI-CTRL-001, AI-CTRL-011, AI-CTRL-024, AI-CTRL-031</t>
        </is>
      </c>
      <c r="G431" s="6" t="inlineStr">
        <is>
          <t>AI-R02, AI-R07, AI-R08, AI-R16, AI-R18, AI-R23, AI-R24</t>
        </is>
      </c>
      <c r="H431" s="6" t="inlineStr">
        <is>
          <t>Derived via mapped controls</t>
        </is>
      </c>
      <c r="I431" s="6" t="inlineStr"/>
      <c r="J431" s="6" t="inlineStr">
        <is>
          <t>Test cases under those controls: 87</t>
        </is>
      </c>
      <c r="K431" s="6" t="inlineStr">
        <is>
          <t>https://nachi065.github.io/AI-Security-Wiki/23_Framework_Crosswalks/10_CIS_Controls_Crosswalk.html</t>
        </is>
      </c>
    </row>
    <row r="432">
      <c r="A432" s="157" t="inlineStr">
        <is>
          <t>Security baselines</t>
        </is>
      </c>
      <c r="B432" s="157" t="inlineStr">
        <is>
          <t>CIS Controls</t>
        </is>
      </c>
      <c r="C432" s="157" t="inlineStr">
        <is>
          <t>CIS Controls</t>
        </is>
      </c>
      <c r="D432" s="157" t="inlineStr">
        <is>
          <t>CIS 3</t>
        </is>
      </c>
      <c r="E432" s="157" t="inlineStr">
        <is>
          <t>Data Protection</t>
        </is>
      </c>
      <c r="F432" s="157" t="inlineStr">
        <is>
          <t>AI-CTRL-002, AI-CTRL-003, AI-CTRL-004, AI-CTRL-007, AI-CTRL-010, AI-CTRL-013, AI-CTRL-017, AI-CTRL-018, AI-CTRL-021, AI-CTRL-026, AI-CTRL-028, AI-CTRL-029</t>
        </is>
      </c>
      <c r="G432" s="157" t="inlineStr">
        <is>
          <t>AI-R01, AI-R02, AI-R03, AI-R04, AI-R05, AI-R06, AI-R07, AI-R08, AI-R10, AI-R17, AI-R21, AI-R22, AI-R27, AI-R28</t>
        </is>
      </c>
      <c r="H432" s="157" t="inlineStr">
        <is>
          <t>Derived via mapped controls</t>
        </is>
      </c>
      <c r="I432" s="157" t="inlineStr"/>
      <c r="J432" s="157" t="inlineStr">
        <is>
          <t>Test cases under those controls: 217</t>
        </is>
      </c>
      <c r="K432" s="157" t="inlineStr">
        <is>
          <t>https://nachi065.github.io/AI-Security-Wiki/23_Framework_Crosswalks/10_CIS_Controls_Crosswalk.html</t>
        </is>
      </c>
    </row>
    <row r="433">
      <c r="A433" s="6" t="inlineStr">
        <is>
          <t>Security baselines</t>
        </is>
      </c>
      <c r="B433" s="6" t="inlineStr">
        <is>
          <t>CIS Controls</t>
        </is>
      </c>
      <c r="C433" s="6" t="inlineStr">
        <is>
          <t>CIS Controls</t>
        </is>
      </c>
      <c r="D433" s="6" t="inlineStr">
        <is>
          <t>CIS 4</t>
        </is>
      </c>
      <c r="E433" s="6" t="inlineStr">
        <is>
          <t>Secure Configuration of Enterprise Assets and Software</t>
        </is>
      </c>
      <c r="F433" s="6" t="inlineStr">
        <is>
          <t>AI-CTRL-027, AI-CTRL-030, AI-CTRL-032</t>
        </is>
      </c>
      <c r="G433" s="6" t="inlineStr">
        <is>
          <t>AI-R07, AI-R08, AI-R10, AI-R21, AI-R22, AI-R25, AI-R55</t>
        </is>
      </c>
      <c r="H433" s="6" t="inlineStr">
        <is>
          <t>Derived via mapped controls</t>
        </is>
      </c>
      <c r="I433" s="6" t="inlineStr"/>
      <c r="J433" s="6" t="inlineStr">
        <is>
          <t>Test cases under those controls: 55</t>
        </is>
      </c>
      <c r="K433" s="6" t="inlineStr">
        <is>
          <t>https://nachi065.github.io/AI-Security-Wiki/23_Framework_Crosswalks/10_CIS_Controls_Crosswalk.html</t>
        </is>
      </c>
    </row>
    <row r="434">
      <c r="A434" s="157" t="inlineStr">
        <is>
          <t>Security baselines</t>
        </is>
      </c>
      <c r="B434" s="157" t="inlineStr">
        <is>
          <t>CIS Controls</t>
        </is>
      </c>
      <c r="C434" s="157" t="inlineStr">
        <is>
          <t>CIS Controls</t>
        </is>
      </c>
      <c r="D434" s="157" t="inlineStr">
        <is>
          <t>CIS 5</t>
        </is>
      </c>
      <c r="E434" s="157" t="inlineStr">
        <is>
          <t>Account Management</t>
        </is>
      </c>
      <c r="F434" s="157" t="inlineStr">
        <is>
          <t>AI-CTRL-015, AI-CTRL-016</t>
        </is>
      </c>
      <c r="G434" s="157" t="inlineStr">
        <is>
          <t>AI-R06, AI-R07, AI-R08, AI-R22, AI-R25</t>
        </is>
      </c>
      <c r="H434" s="157" t="inlineStr">
        <is>
          <t>Derived via mapped controls</t>
        </is>
      </c>
      <c r="I434" s="157" t="inlineStr"/>
      <c r="J434" s="157" t="inlineStr">
        <is>
          <t>Test cases under those controls: 93</t>
        </is>
      </c>
      <c r="K434" s="157" t="inlineStr">
        <is>
          <t>https://nachi065.github.io/AI-Security-Wiki/23_Framework_Crosswalks/10_CIS_Controls_Crosswalk.html</t>
        </is>
      </c>
    </row>
    <row r="435">
      <c r="A435" s="6" t="inlineStr">
        <is>
          <t>Security baselines</t>
        </is>
      </c>
      <c r="B435" s="6" t="inlineStr">
        <is>
          <t>CIS Controls</t>
        </is>
      </c>
      <c r="C435" s="6" t="inlineStr">
        <is>
          <t>CIS Controls</t>
        </is>
      </c>
      <c r="D435" s="6" t="inlineStr">
        <is>
          <t>CIS 6</t>
        </is>
      </c>
      <c r="E435" s="6" t="inlineStr">
        <is>
          <t>Access Control Management</t>
        </is>
      </c>
      <c r="F435" s="6" t="inlineStr">
        <is>
          <t>AI-CTRL-006, AI-CTRL-015, AI-CTRL-016, AI-CTRL-018, AI-CTRL-022, AI-CTRL-025, AI-CTRL-028</t>
        </is>
      </c>
      <c r="G435" s="6" t="inlineStr">
        <is>
          <t>AI-R06, AI-R07, AI-R08, AI-R11, AI-R21, AI-R22, AI-R24, AI-R25, AI-R55</t>
        </is>
      </c>
      <c r="H435" s="6" t="inlineStr">
        <is>
          <t>Derived via mapped controls</t>
        </is>
      </c>
      <c r="I435" s="6" t="inlineStr"/>
      <c r="J435" s="6" t="inlineStr">
        <is>
          <t>Test cases under those controls: 157</t>
        </is>
      </c>
      <c r="K435" s="6" t="inlineStr">
        <is>
          <t>https://nachi065.github.io/AI-Security-Wiki/23_Framework_Crosswalks/10_CIS_Controls_Crosswalk.html</t>
        </is>
      </c>
    </row>
    <row r="436">
      <c r="A436" s="157" t="inlineStr">
        <is>
          <t>Security baselines</t>
        </is>
      </c>
      <c r="B436" s="157" t="inlineStr">
        <is>
          <t>CIS Controls</t>
        </is>
      </c>
      <c r="C436" s="157" t="inlineStr">
        <is>
          <t>CIS Controls</t>
        </is>
      </c>
      <c r="D436" s="157" t="inlineStr">
        <is>
          <t>CIS 7</t>
        </is>
      </c>
      <c r="E436" s="157" t="inlineStr">
        <is>
          <t>Continuous Vulnerability Management</t>
        </is>
      </c>
      <c r="F436" s="157" t="inlineStr">
        <is>
          <t>AI-CTRL-031, AI-CTRL-032, AI-CTRL-034</t>
        </is>
      </c>
      <c r="G436" s="157" t="inlineStr">
        <is>
          <t>AI-R05, AI-R07, AI-R08, AI-R10, AI-R16, AI-R17, AI-R20, AI-R23</t>
        </is>
      </c>
      <c r="H436" s="157" t="inlineStr">
        <is>
          <t>Derived via mapped controls</t>
        </is>
      </c>
      <c r="I436" s="157" t="inlineStr"/>
      <c r="J436" s="157" t="inlineStr">
        <is>
          <t>Test cases under those controls: 88</t>
        </is>
      </c>
      <c r="K436" s="157" t="inlineStr">
        <is>
          <t>https://nachi065.github.io/AI-Security-Wiki/23_Framework_Crosswalks/10_CIS_Controls_Crosswalk.html</t>
        </is>
      </c>
    </row>
    <row r="437">
      <c r="A437" s="6" t="inlineStr">
        <is>
          <t>Security baselines</t>
        </is>
      </c>
      <c r="B437" s="6" t="inlineStr">
        <is>
          <t>CIS Controls</t>
        </is>
      </c>
      <c r="C437" s="6" t="inlineStr">
        <is>
          <t>CIS Controls</t>
        </is>
      </c>
      <c r="D437" s="6" t="inlineStr">
        <is>
          <t>CIS 8</t>
        </is>
      </c>
      <c r="E437" s="6" t="inlineStr">
        <is>
          <t>Audit Log Management</t>
        </is>
      </c>
      <c r="F437" s="6" t="inlineStr">
        <is>
          <t>AI-CTRL-006, AI-CTRL-008, AI-CTRL-009</t>
        </is>
      </c>
      <c r="G437" s="6" t="inlineStr">
        <is>
          <t>AI-R07, AI-R09, AI-R15, AI-R25, AI-R26</t>
        </is>
      </c>
      <c r="H437" s="6" t="inlineStr">
        <is>
          <t>Derived via mapped controls</t>
        </is>
      </c>
      <c r="I437" s="6" t="inlineStr"/>
      <c r="J437" s="6" t="inlineStr">
        <is>
          <t>Test cases under those controls: 56</t>
        </is>
      </c>
      <c r="K437" s="6" t="inlineStr">
        <is>
          <t>https://nachi065.github.io/AI-Security-Wiki/23_Framework_Crosswalks/10_CIS_Controls_Crosswalk.html</t>
        </is>
      </c>
    </row>
    <row r="438">
      <c r="A438" s="157" t="inlineStr">
        <is>
          <t>Security baselines</t>
        </is>
      </c>
      <c r="B438" s="157" t="inlineStr">
        <is>
          <t>CIS Controls</t>
        </is>
      </c>
      <c r="C438" s="157" t="inlineStr">
        <is>
          <t>CIS Controls</t>
        </is>
      </c>
      <c r="D438" s="157" t="inlineStr">
        <is>
          <t>CIS 9</t>
        </is>
      </c>
      <c r="E438" s="157" t="inlineStr">
        <is>
          <t>Email and Web Browser Protections</t>
        </is>
      </c>
      <c r="F438" s="157" t="inlineStr">
        <is>
          <t>AI-CTRL-001, AI-CTRL-003, AI-CTRL-010</t>
        </is>
      </c>
      <c r="G438" s="157" t="inlineStr">
        <is>
          <t>AI-R01, AI-R02, AI-R03, AI-R27</t>
        </is>
      </c>
      <c r="H438" s="157" t="inlineStr">
        <is>
          <t>Derived via mapped controls</t>
        </is>
      </c>
      <c r="I438" s="157" t="inlineStr"/>
      <c r="J438" s="157" t="inlineStr">
        <is>
          <t>Test cases under those controls: 65</t>
        </is>
      </c>
      <c r="K438" s="157" t="inlineStr">
        <is>
          <t>https://nachi065.github.io/AI-Security-Wiki/23_Framework_Crosswalks/10_CIS_Controls_Crosswalk.html</t>
        </is>
      </c>
    </row>
    <row r="439">
      <c r="A439" s="6" t="inlineStr">
        <is>
          <t>Security baselines</t>
        </is>
      </c>
      <c r="B439" s="6" t="inlineStr">
        <is>
          <t>CIS Controls</t>
        </is>
      </c>
      <c r="C439" s="6" t="inlineStr">
        <is>
          <t>CIS Controls</t>
        </is>
      </c>
      <c r="D439" s="6" t="inlineStr">
        <is>
          <t>CIS 10</t>
        </is>
      </c>
      <c r="E439" s="6" t="inlineStr">
        <is>
          <t>Malware Defenses</t>
        </is>
      </c>
      <c r="F439" s="6" t="inlineStr">
        <is>
          <t>AI-CTRL-021</t>
        </is>
      </c>
      <c r="G439" s="6" t="inlineStr">
        <is>
          <t>AI-R03, AI-R05</t>
        </is>
      </c>
      <c r="H439" s="6" t="inlineStr">
        <is>
          <t>Derived via mapped controls</t>
        </is>
      </c>
      <c r="I439" s="6" t="inlineStr"/>
      <c r="J439" s="6" t="inlineStr">
        <is>
          <t>Test cases under those controls: 28</t>
        </is>
      </c>
      <c r="K439" s="6" t="inlineStr">
        <is>
          <t>https://nachi065.github.io/AI-Security-Wiki/23_Framework_Crosswalks/10_CIS_Controls_Crosswalk.html</t>
        </is>
      </c>
    </row>
    <row r="440">
      <c r="A440" s="157" t="inlineStr">
        <is>
          <t>Security baselines</t>
        </is>
      </c>
      <c r="B440" s="157" t="inlineStr">
        <is>
          <t>CIS Controls</t>
        </is>
      </c>
      <c r="C440" s="157" t="inlineStr">
        <is>
          <t>CIS Controls</t>
        </is>
      </c>
      <c r="D440" s="157" t="inlineStr">
        <is>
          <t>CIS 11</t>
        </is>
      </c>
      <c r="E440" s="157" t="inlineStr">
        <is>
          <t>Data Recovery</t>
        </is>
      </c>
      <c r="F440" s="157" t="inlineStr">
        <is>
          <t>AI-CTRL-040</t>
        </is>
      </c>
      <c r="G440" s="157" t="inlineStr">
        <is>
          <t>AI-R13, AI-R16</t>
        </is>
      </c>
      <c r="H440" s="157" t="inlineStr">
        <is>
          <t>Derived via mapped controls</t>
        </is>
      </c>
      <c r="I440" s="157" t="inlineStr"/>
      <c r="J440" s="157" t="inlineStr">
        <is>
          <t>Test cases under those controls: 14</t>
        </is>
      </c>
      <c r="K440" s="157" t="inlineStr">
        <is>
          <t>https://nachi065.github.io/AI-Security-Wiki/23_Framework_Crosswalks/10_CIS_Controls_Crosswalk.html</t>
        </is>
      </c>
    </row>
    <row r="441">
      <c r="A441" s="6" t="inlineStr">
        <is>
          <t>Security baselines</t>
        </is>
      </c>
      <c r="B441" s="6" t="inlineStr">
        <is>
          <t>CIS Controls</t>
        </is>
      </c>
      <c r="C441" s="6" t="inlineStr">
        <is>
          <t>CIS Controls</t>
        </is>
      </c>
      <c r="D441" s="6" t="inlineStr">
        <is>
          <t>CIS 12</t>
        </is>
      </c>
      <c r="E441" s="6" t="inlineStr">
        <is>
          <t>Network Infrastructure Management</t>
        </is>
      </c>
      <c r="F441" s="6" t="inlineStr">
        <is>
          <t>AI-CTRL-027, AI-CTRL-032</t>
        </is>
      </c>
      <c r="G441" s="6" t="inlineStr">
        <is>
          <t>AI-R07, AI-R08, AI-R10, AI-R21, AI-R22, AI-R25, AI-R55</t>
        </is>
      </c>
      <c r="H441" s="6" t="inlineStr">
        <is>
          <t>Derived via mapped controls</t>
        </is>
      </c>
      <c r="I441" s="6" t="inlineStr"/>
      <c r="J441" s="6" t="inlineStr">
        <is>
          <t>Test cases under those controls: 39</t>
        </is>
      </c>
      <c r="K441" s="6" t="inlineStr">
        <is>
          <t>https://nachi065.github.io/AI-Security-Wiki/23_Framework_Crosswalks/10_CIS_Controls_Crosswalk.html</t>
        </is>
      </c>
    </row>
    <row r="442">
      <c r="A442" s="157" t="inlineStr">
        <is>
          <t>Security baselines</t>
        </is>
      </c>
      <c r="B442" s="157" t="inlineStr">
        <is>
          <t>CIS Controls</t>
        </is>
      </c>
      <c r="C442" s="157" t="inlineStr">
        <is>
          <t>CIS Controls</t>
        </is>
      </c>
      <c r="D442" s="157" t="inlineStr">
        <is>
          <t>CIS 13</t>
        </is>
      </c>
      <c r="E442" s="157" t="inlineStr">
        <is>
          <t>Network Monitoring and Defense</t>
        </is>
      </c>
      <c r="F442" s="157" t="inlineStr">
        <is>
          <t>AI-CTRL-005, AI-CTRL-009, AI-CTRL-032</t>
        </is>
      </c>
      <c r="G442" s="157" t="inlineStr">
        <is>
          <t>AI-R05, AI-R06, AI-R08, AI-R09, AI-R10, AI-R24</t>
        </is>
      </c>
      <c r="H442" s="157" t="inlineStr">
        <is>
          <t>Derived via mapped controls</t>
        </is>
      </c>
      <c r="I442" s="157" t="inlineStr"/>
      <c r="J442" s="157" t="inlineStr">
        <is>
          <t>Test cases under those controls: 100</t>
        </is>
      </c>
      <c r="K442" s="157" t="inlineStr">
        <is>
          <t>https://nachi065.github.io/AI-Security-Wiki/23_Framework_Crosswalks/10_CIS_Controls_Crosswalk.html</t>
        </is>
      </c>
    </row>
    <row r="443">
      <c r="A443" s="6" t="inlineStr">
        <is>
          <t>Security baselines</t>
        </is>
      </c>
      <c r="B443" s="6" t="inlineStr">
        <is>
          <t>CIS Controls</t>
        </is>
      </c>
      <c r="C443" s="6" t="inlineStr">
        <is>
          <t>CIS Controls</t>
        </is>
      </c>
      <c r="D443" s="6" t="inlineStr">
        <is>
          <t>CIS 14</t>
        </is>
      </c>
      <c r="E443" s="6" t="inlineStr">
        <is>
          <t>Security Awareness and Skills Training</t>
        </is>
      </c>
      <c r="F443" s="6" t="inlineStr">
        <is>
          <t>AI-CTRL-044</t>
        </is>
      </c>
      <c r="G443" s="6" t="inlineStr">
        <is>
          <t>AI-R02, AI-R19</t>
        </is>
      </c>
      <c r="H443" s="6" t="inlineStr">
        <is>
          <t>Derived via mapped controls</t>
        </is>
      </c>
      <c r="I443" s="6" t="inlineStr"/>
      <c r="J443" s="6" t="inlineStr">
        <is>
          <t>Test cases under those controls: 3</t>
        </is>
      </c>
      <c r="K443" s="6" t="inlineStr">
        <is>
          <t>https://nachi065.github.io/AI-Security-Wiki/23_Framework_Crosswalks/10_CIS_Controls_Crosswalk.html</t>
        </is>
      </c>
    </row>
    <row r="444">
      <c r="A444" s="157" t="inlineStr">
        <is>
          <t>Security baselines</t>
        </is>
      </c>
      <c r="B444" s="157" t="inlineStr">
        <is>
          <t>CIS Controls</t>
        </is>
      </c>
      <c r="C444" s="157" t="inlineStr">
        <is>
          <t>CIS Controls</t>
        </is>
      </c>
      <c r="D444" s="157" t="inlineStr">
        <is>
          <t>CIS 15</t>
        </is>
      </c>
      <c r="E444" s="157" t="inlineStr">
        <is>
          <t>Service Provider Management</t>
        </is>
      </c>
      <c r="F444" s="157" t="inlineStr">
        <is>
          <t>AI-CTRL-007, AI-CTRL-014, AI-CTRL-024, AI-CTRL-031</t>
        </is>
      </c>
      <c r="G444" s="157" t="inlineStr">
        <is>
          <t>AI-R07, AI-R08, AI-R10, AI-R16, AI-R23, AI-R24</t>
        </is>
      </c>
      <c r="H444" s="157" t="inlineStr">
        <is>
          <t>Derived via mapped controls</t>
        </is>
      </c>
      <c r="I444" s="157" t="inlineStr"/>
      <c r="J444" s="157" t="inlineStr">
        <is>
          <t>Test cases under those controls: 77</t>
        </is>
      </c>
      <c r="K444" s="157" t="inlineStr">
        <is>
          <t>https://nachi065.github.io/AI-Security-Wiki/23_Framework_Crosswalks/10_CIS_Controls_Crosswalk.html</t>
        </is>
      </c>
    </row>
    <row r="445">
      <c r="A445" s="6" t="inlineStr">
        <is>
          <t>Security baselines</t>
        </is>
      </c>
      <c r="B445" s="6" t="inlineStr">
        <is>
          <t>CIS Controls</t>
        </is>
      </c>
      <c r="C445" s="6" t="inlineStr">
        <is>
          <t>CIS Controls</t>
        </is>
      </c>
      <c r="D445" s="6" t="inlineStr">
        <is>
          <t>CIS 16</t>
        </is>
      </c>
      <c r="E445" s="6" t="inlineStr">
        <is>
          <t>Application Software Security</t>
        </is>
      </c>
      <c r="F445" s="6" t="inlineStr">
        <is>
          <t>AI-CTRL-004, AI-CTRL-005, AI-CTRL-020, AI-CTRL-024, AI-CTRL-027, AI-CTRL-030, AI-CTRL-031, AI-CTRL-033</t>
        </is>
      </c>
      <c r="G445" s="6" t="inlineStr">
        <is>
          <t>AI-R04, AI-R05, AI-R06, AI-R07, AI-R08, AI-R14, AI-R16, AI-R21, AI-R22, AI-R23, AI-R24, AI-R25, AI-R26, AI-R55</t>
        </is>
      </c>
      <c r="H445" s="6" t="inlineStr">
        <is>
          <t>Derived via mapped controls</t>
        </is>
      </c>
      <c r="I445" s="6" t="inlineStr"/>
      <c r="J445" s="6" t="inlineStr">
        <is>
          <t>Test cases under those controls: 154</t>
        </is>
      </c>
      <c r="K445" s="6" t="inlineStr">
        <is>
          <t>https://nachi065.github.io/AI-Security-Wiki/23_Framework_Crosswalks/10_CIS_Controls_Crosswalk.html</t>
        </is>
      </c>
    </row>
    <row r="446">
      <c r="A446" s="157" t="inlineStr">
        <is>
          <t>Security baselines</t>
        </is>
      </c>
      <c r="B446" s="157" t="inlineStr">
        <is>
          <t>CIS Controls</t>
        </is>
      </c>
      <c r="C446" s="157" t="inlineStr">
        <is>
          <t>CIS Controls</t>
        </is>
      </c>
      <c r="D446" s="157" t="inlineStr">
        <is>
          <t>CIS 17</t>
        </is>
      </c>
      <c r="E446" s="157" t="inlineStr">
        <is>
          <t>Incident Response Management</t>
        </is>
      </c>
      <c r="F446" s="157" t="inlineStr">
        <is>
          <t>AI-CTRL-025, AI-CTRL-035, AI-CTRL-043</t>
        </is>
      </c>
      <c r="G446" s="157" t="inlineStr">
        <is>
          <t>AI-R07, AI-R09, AI-R10, AI-R11, AI-R20, AI-R21, AI-R25, AI-R55</t>
        </is>
      </c>
      <c r="H446" s="157" t="inlineStr">
        <is>
          <t>Derived via mapped controls</t>
        </is>
      </c>
      <c r="I446" s="157" t="inlineStr"/>
      <c r="J446" s="157" t="inlineStr">
        <is>
          <t>Test cases under those controls: 53</t>
        </is>
      </c>
      <c r="K446" s="157" t="inlineStr">
        <is>
          <t>https://nachi065.github.io/AI-Security-Wiki/23_Framework_Crosswalks/10_CIS_Controls_Crosswalk.html</t>
        </is>
      </c>
    </row>
    <row r="447">
      <c r="A447" s="6" t="inlineStr">
        <is>
          <t>Security baselines</t>
        </is>
      </c>
      <c r="B447" s="6" t="inlineStr">
        <is>
          <t>CIS Controls</t>
        </is>
      </c>
      <c r="C447" s="6" t="inlineStr">
        <is>
          <t>CIS Controls</t>
        </is>
      </c>
      <c r="D447" s="6" t="inlineStr">
        <is>
          <t>CIS 18</t>
        </is>
      </c>
      <c r="E447" s="6" t="inlineStr">
        <is>
          <t>Penetration Testing</t>
        </is>
      </c>
      <c r="F447" s="6" t="inlineStr">
        <is>
          <t>AI-CTRL-034</t>
        </is>
      </c>
      <c r="G447" s="6" t="inlineStr">
        <is>
          <t>AI-R05, AI-R07, AI-R16, AI-R17, AI-R20</t>
        </is>
      </c>
      <c r="H447" s="6" t="inlineStr">
        <is>
          <t>Derived via mapped controls</t>
        </is>
      </c>
      <c r="I447" s="6" t="inlineStr"/>
      <c r="J447" s="6" t="inlineStr">
        <is>
          <t>Test cases under those controls: 38</t>
        </is>
      </c>
      <c r="K447" s="6" t="inlineStr">
        <is>
          <t>https://nachi065.github.io/AI-Security-Wiki/23_Framework_Crosswalks/10_CIS_Controls_Crosswalk.html</t>
        </is>
      </c>
    </row>
    <row r="448">
      <c r="A448" s="157" t="inlineStr">
        <is>
          <t>Security baselines</t>
        </is>
      </c>
      <c r="B448" s="157" t="inlineStr">
        <is>
          <t>SOC 2</t>
        </is>
      </c>
      <c r="C448" s="157" t="inlineStr">
        <is>
          <t>Criteria</t>
        </is>
      </c>
      <c r="D448" s="157" t="inlineStr">
        <is>
          <t>CC1.1</t>
        </is>
      </c>
      <c r="E448" s="157" t="inlineStr"/>
      <c r="F448" s="157" t="inlineStr">
        <is>
          <t>None</t>
        </is>
      </c>
      <c r="G448" s="157" t="inlineStr">
        <is>
          <t>None</t>
        </is>
      </c>
      <c r="H448" s="157" t="inlineStr">
        <is>
          <t>Derived via mapped controls</t>
        </is>
      </c>
      <c r="I448" s="157" t="inlineStr"/>
      <c r="J448" s="157" t="inlineStr">
        <is>
          <t>Wiki controls: None; Test cases under those controls: 0</t>
        </is>
      </c>
      <c r="K448" s="157" t="inlineStr">
        <is>
          <t>https://nachi065.github.io/AI-Security-Wiki/23_Framework_Crosswalks/11_SOC_2_Crosswalk.html</t>
        </is>
      </c>
    </row>
    <row r="449">
      <c r="A449" s="6" t="inlineStr">
        <is>
          <t>Security baselines</t>
        </is>
      </c>
      <c r="B449" s="6" t="inlineStr">
        <is>
          <t>SOC 2</t>
        </is>
      </c>
      <c r="C449" s="6" t="inlineStr">
        <is>
          <t>Criteria</t>
        </is>
      </c>
      <c r="D449" s="6" t="inlineStr">
        <is>
          <t>CC1.2</t>
        </is>
      </c>
      <c r="E449" s="6" t="inlineStr"/>
      <c r="F449" s="6" t="inlineStr">
        <is>
          <t>None</t>
        </is>
      </c>
      <c r="G449" s="6" t="inlineStr">
        <is>
          <t>None</t>
        </is>
      </c>
      <c r="H449" s="6" t="inlineStr">
        <is>
          <t>Derived via mapped controls</t>
        </is>
      </c>
      <c r="I449" s="6" t="inlineStr"/>
      <c r="J449" s="6" t="inlineStr">
        <is>
          <t>Wiki controls: None; Test cases under those controls: 0</t>
        </is>
      </c>
      <c r="K449" s="6" t="inlineStr">
        <is>
          <t>https://nachi065.github.io/AI-Security-Wiki/23_Framework_Crosswalks/11_SOC_2_Crosswalk.html</t>
        </is>
      </c>
    </row>
    <row r="450">
      <c r="A450" s="157" t="inlineStr">
        <is>
          <t>Security baselines</t>
        </is>
      </c>
      <c r="B450" s="157" t="inlineStr">
        <is>
          <t>SOC 2</t>
        </is>
      </c>
      <c r="C450" s="157" t="inlineStr">
        <is>
          <t>Criteria</t>
        </is>
      </c>
      <c r="D450" s="157" t="inlineStr">
        <is>
          <t>CC1.3</t>
        </is>
      </c>
      <c r="E450" s="157" t="inlineStr">
        <is>
          <t>Structures, reporting lines and responsibilities</t>
        </is>
      </c>
      <c r="F450" s="157" t="inlineStr">
        <is>
          <t>AI-CTRL-012</t>
        </is>
      </c>
      <c r="G450" s="157" t="inlineStr">
        <is>
          <t>AI-R02, AI-R03, AI-R18, AI-R19, AI-R27, AI-R28</t>
        </is>
      </c>
      <c r="H450" s="157" t="inlineStr">
        <is>
          <t>Derived via mapped controls</t>
        </is>
      </c>
      <c r="I450" s="157" t="inlineStr"/>
      <c r="J450" s="157" t="inlineStr">
        <is>
          <t>Test cases under those controls: 8</t>
        </is>
      </c>
      <c r="K450" s="157" t="inlineStr">
        <is>
          <t>https://nachi065.github.io/AI-Security-Wiki/23_Framework_Crosswalks/11_SOC_2_Crosswalk.html</t>
        </is>
      </c>
    </row>
    <row r="451">
      <c r="A451" s="6" t="inlineStr">
        <is>
          <t>Security baselines</t>
        </is>
      </c>
      <c r="B451" s="6" t="inlineStr">
        <is>
          <t>SOC 2</t>
        </is>
      </c>
      <c r="C451" s="6" t="inlineStr">
        <is>
          <t>Criteria</t>
        </is>
      </c>
      <c r="D451" s="6" t="inlineStr">
        <is>
          <t>CC1.4</t>
        </is>
      </c>
      <c r="E451" s="6" t="inlineStr">
        <is>
          <t>Competence</t>
        </is>
      </c>
      <c r="F451" s="6" t="inlineStr">
        <is>
          <t>AI-CTRL-044</t>
        </is>
      </c>
      <c r="G451" s="6" t="inlineStr">
        <is>
          <t>AI-R02, AI-R19</t>
        </is>
      </c>
      <c r="H451" s="6" t="inlineStr">
        <is>
          <t>Derived via mapped controls</t>
        </is>
      </c>
      <c r="I451" s="6" t="inlineStr"/>
      <c r="J451" s="6" t="inlineStr">
        <is>
          <t>Test cases under those controls: 3</t>
        </is>
      </c>
      <c r="K451" s="6" t="inlineStr">
        <is>
          <t>https://nachi065.github.io/AI-Security-Wiki/23_Framework_Crosswalks/11_SOC_2_Crosswalk.html</t>
        </is>
      </c>
    </row>
    <row r="452">
      <c r="A452" s="157" t="inlineStr">
        <is>
          <t>Security baselines</t>
        </is>
      </c>
      <c r="B452" s="157" t="inlineStr">
        <is>
          <t>SOC 2</t>
        </is>
      </c>
      <c r="C452" s="157" t="inlineStr">
        <is>
          <t>Criteria</t>
        </is>
      </c>
      <c r="D452" s="157" t="inlineStr">
        <is>
          <t>CC1.5</t>
        </is>
      </c>
      <c r="E452" s="157" t="inlineStr"/>
      <c r="F452" s="157" t="inlineStr">
        <is>
          <t>None</t>
        </is>
      </c>
      <c r="G452" s="157" t="inlineStr">
        <is>
          <t>None</t>
        </is>
      </c>
      <c r="H452" s="157" t="inlineStr">
        <is>
          <t>Derived via mapped controls</t>
        </is>
      </c>
      <c r="I452" s="157" t="inlineStr"/>
      <c r="J452" s="157" t="inlineStr">
        <is>
          <t>Wiki controls: None; Test cases under those controls: 0</t>
        </is>
      </c>
      <c r="K452" s="157" t="inlineStr">
        <is>
          <t>https://nachi065.github.io/AI-Security-Wiki/23_Framework_Crosswalks/11_SOC_2_Crosswalk.html</t>
        </is>
      </c>
    </row>
    <row r="453">
      <c r="A453" s="6" t="inlineStr">
        <is>
          <t>Security baselines</t>
        </is>
      </c>
      <c r="B453" s="6" t="inlineStr">
        <is>
          <t>SOC 2</t>
        </is>
      </c>
      <c r="C453" s="6" t="inlineStr">
        <is>
          <t>Criteria</t>
        </is>
      </c>
      <c r="D453" s="6" t="inlineStr">
        <is>
          <t>CC2.1</t>
        </is>
      </c>
      <c r="E453" s="6" t="inlineStr"/>
      <c r="F453" s="6" t="inlineStr">
        <is>
          <t>None</t>
        </is>
      </c>
      <c r="G453" s="6" t="inlineStr">
        <is>
          <t>None</t>
        </is>
      </c>
      <c r="H453" s="6" t="inlineStr">
        <is>
          <t>Derived via mapped controls</t>
        </is>
      </c>
      <c r="I453" s="6" t="inlineStr"/>
      <c r="J453" s="6" t="inlineStr">
        <is>
          <t>Wiki controls: None; Test cases under those controls: 0</t>
        </is>
      </c>
      <c r="K453" s="6" t="inlineStr">
        <is>
          <t>https://nachi065.github.io/AI-Security-Wiki/23_Framework_Crosswalks/11_SOC_2_Crosswalk.html</t>
        </is>
      </c>
    </row>
    <row r="454">
      <c r="A454" s="157" t="inlineStr">
        <is>
          <t>Security baselines</t>
        </is>
      </c>
      <c r="B454" s="157" t="inlineStr">
        <is>
          <t>SOC 2</t>
        </is>
      </c>
      <c r="C454" s="157" t="inlineStr">
        <is>
          <t>Criteria</t>
        </is>
      </c>
      <c r="D454" s="157" t="inlineStr">
        <is>
          <t>CC2.2</t>
        </is>
      </c>
      <c r="E454" s="157" t="inlineStr">
        <is>
          <t>Internal communication</t>
        </is>
      </c>
      <c r="F454" s="157" t="inlineStr">
        <is>
          <t>AI-CTRL-012, AI-CTRL-044</t>
        </is>
      </c>
      <c r="G454" s="157" t="inlineStr">
        <is>
          <t>AI-R02, AI-R03, AI-R18, AI-R19, AI-R27, AI-R28</t>
        </is>
      </c>
      <c r="H454" s="157" t="inlineStr">
        <is>
          <t>Derived via mapped controls</t>
        </is>
      </c>
      <c r="I454" s="157" t="inlineStr"/>
      <c r="J454" s="157" t="inlineStr">
        <is>
          <t>Test cases under those controls: 10</t>
        </is>
      </c>
      <c r="K454" s="157" t="inlineStr">
        <is>
          <t>https://nachi065.github.io/AI-Security-Wiki/23_Framework_Crosswalks/11_SOC_2_Crosswalk.html</t>
        </is>
      </c>
    </row>
    <row r="455">
      <c r="A455" s="6" t="inlineStr">
        <is>
          <t>Security baselines</t>
        </is>
      </c>
      <c r="B455" s="6" t="inlineStr">
        <is>
          <t>SOC 2</t>
        </is>
      </c>
      <c r="C455" s="6" t="inlineStr">
        <is>
          <t>Criteria</t>
        </is>
      </c>
      <c r="D455" s="6" t="inlineStr">
        <is>
          <t>CC2.3</t>
        </is>
      </c>
      <c r="E455" s="6" t="inlineStr">
        <is>
          <t>External communication</t>
        </is>
      </c>
      <c r="F455" s="6" t="inlineStr">
        <is>
          <t>AI-CTRL-043</t>
        </is>
      </c>
      <c r="G455" s="6" t="inlineStr">
        <is>
          <t>AI-R09, AI-R10</t>
        </is>
      </c>
      <c r="H455" s="6" t="inlineStr">
        <is>
          <t>Derived via mapped controls</t>
        </is>
      </c>
      <c r="I455" s="6" t="inlineStr"/>
      <c r="J455" s="6" t="inlineStr">
        <is>
          <t>Test cases under those controls: 4</t>
        </is>
      </c>
      <c r="K455" s="6" t="inlineStr">
        <is>
          <t>https://nachi065.github.io/AI-Security-Wiki/23_Framework_Crosswalks/11_SOC_2_Crosswalk.html</t>
        </is>
      </c>
    </row>
    <row r="456">
      <c r="A456" s="157" t="inlineStr">
        <is>
          <t>Security baselines</t>
        </is>
      </c>
      <c r="B456" s="157" t="inlineStr">
        <is>
          <t>SOC 2</t>
        </is>
      </c>
      <c r="C456" s="157" t="inlineStr">
        <is>
          <t>Criteria</t>
        </is>
      </c>
      <c r="D456" s="157" t="inlineStr">
        <is>
          <t>CC3.1</t>
        </is>
      </c>
      <c r="E456" s="157" t="inlineStr">
        <is>
          <t>Objectives for risk assessment</t>
        </is>
      </c>
      <c r="F456" s="157" t="inlineStr">
        <is>
          <t>AI-CTRL-011, AI-CTRL-037</t>
        </is>
      </c>
      <c r="G456" s="157" t="inlineStr">
        <is>
          <t>AI-R02, AI-R18, AI-R28, AI-R55</t>
        </is>
      </c>
      <c r="H456" s="157" t="inlineStr">
        <is>
          <t>Derived via mapped controls</t>
        </is>
      </c>
      <c r="I456" s="157" t="inlineStr"/>
      <c r="J456" s="157" t="inlineStr">
        <is>
          <t>Test cases under those controls: 29</t>
        </is>
      </c>
      <c r="K456" s="157" t="inlineStr">
        <is>
          <t>https://nachi065.github.io/AI-Security-Wiki/23_Framework_Crosswalks/11_SOC_2_Crosswalk.html</t>
        </is>
      </c>
    </row>
    <row r="457">
      <c r="A457" s="6" t="inlineStr">
        <is>
          <t>Security baselines</t>
        </is>
      </c>
      <c r="B457" s="6" t="inlineStr">
        <is>
          <t>SOC 2</t>
        </is>
      </c>
      <c r="C457" s="6" t="inlineStr">
        <is>
          <t>Criteria</t>
        </is>
      </c>
      <c r="D457" s="6" t="inlineStr">
        <is>
          <t>CC3.2</t>
        </is>
      </c>
      <c r="E457" s="6" t="inlineStr">
        <is>
          <t>Risk identification and analysis</t>
        </is>
      </c>
      <c r="F457" s="6" t="inlineStr">
        <is>
          <t>AI-CTRL-011, AI-CTRL-037, AI-CTRL-042</t>
        </is>
      </c>
      <c r="G457" s="6" t="inlineStr">
        <is>
          <t>AI-R02, AI-R10, AI-R12, AI-R18, AI-R28, AI-R55</t>
        </is>
      </c>
      <c r="H457" s="6" t="inlineStr">
        <is>
          <t>Derived via mapped controls</t>
        </is>
      </c>
      <c r="I457" s="6" t="inlineStr"/>
      <c r="J457" s="6" t="inlineStr">
        <is>
          <t>Test cases under those controls: 33</t>
        </is>
      </c>
      <c r="K457" s="6" t="inlineStr">
        <is>
          <t>https://nachi065.github.io/AI-Security-Wiki/23_Framework_Crosswalks/11_SOC_2_Crosswalk.html</t>
        </is>
      </c>
    </row>
    <row r="458">
      <c r="A458" s="157" t="inlineStr">
        <is>
          <t>Security baselines</t>
        </is>
      </c>
      <c r="B458" s="157" t="inlineStr">
        <is>
          <t>SOC 2</t>
        </is>
      </c>
      <c r="C458" s="157" t="inlineStr">
        <is>
          <t>Criteria</t>
        </is>
      </c>
      <c r="D458" s="157" t="inlineStr">
        <is>
          <t>CC3.3</t>
        </is>
      </c>
      <c r="E458" s="157" t="inlineStr"/>
      <c r="F458" s="157" t="inlineStr">
        <is>
          <t>None</t>
        </is>
      </c>
      <c r="G458" s="157" t="inlineStr">
        <is>
          <t>None</t>
        </is>
      </c>
      <c r="H458" s="157" t="inlineStr">
        <is>
          <t>Derived via mapped controls</t>
        </is>
      </c>
      <c r="I458" s="157" t="inlineStr"/>
      <c r="J458" s="157" t="inlineStr">
        <is>
          <t>Wiki controls: None; Test cases under those controls: 0</t>
        </is>
      </c>
      <c r="K458" s="157" t="inlineStr">
        <is>
          <t>https://nachi065.github.io/AI-Security-Wiki/23_Framework_Crosswalks/11_SOC_2_Crosswalk.html</t>
        </is>
      </c>
    </row>
    <row r="459">
      <c r="A459" s="6" t="inlineStr">
        <is>
          <t>Security baselines</t>
        </is>
      </c>
      <c r="B459" s="6" t="inlineStr">
        <is>
          <t>SOC 2</t>
        </is>
      </c>
      <c r="C459" s="6" t="inlineStr">
        <is>
          <t>Criteria</t>
        </is>
      </c>
      <c r="D459" s="6" t="inlineStr">
        <is>
          <t>CC3.4</t>
        </is>
      </c>
      <c r="E459" s="6" t="inlineStr">
        <is>
          <t>Assessment of change</t>
        </is>
      </c>
      <c r="F459" s="6" t="inlineStr">
        <is>
          <t>AI-CTRL-033</t>
        </is>
      </c>
      <c r="G459" s="6" t="inlineStr">
        <is>
          <t>AI-R05, AI-R07, AI-R08, AI-R14, AI-R16, AI-R55</t>
        </is>
      </c>
      <c r="H459" s="6" t="inlineStr">
        <is>
          <t>Derived via mapped controls</t>
        </is>
      </c>
      <c r="I459" s="6" t="inlineStr"/>
      <c r="J459" s="6" t="inlineStr">
        <is>
          <t>Test cases under those controls: 8</t>
        </is>
      </c>
      <c r="K459" s="6" t="inlineStr">
        <is>
          <t>https://nachi065.github.io/AI-Security-Wiki/23_Framework_Crosswalks/11_SOC_2_Crosswalk.html</t>
        </is>
      </c>
    </row>
    <row r="460">
      <c r="A460" s="157" t="inlineStr">
        <is>
          <t>Security baselines</t>
        </is>
      </c>
      <c r="B460" s="157" t="inlineStr">
        <is>
          <t>SOC 2</t>
        </is>
      </c>
      <c r="C460" s="157" t="inlineStr">
        <is>
          <t>Criteria</t>
        </is>
      </c>
      <c r="D460" s="157" t="inlineStr">
        <is>
          <t>CC4.1</t>
        </is>
      </c>
      <c r="E460" s="157" t="inlineStr">
        <is>
          <t>Ongoing and separate evaluations</t>
        </is>
      </c>
      <c r="F460" s="157" t="inlineStr">
        <is>
          <t>AI-CTRL-034, AI-CTRL-038</t>
        </is>
      </c>
      <c r="G460" s="157" t="inlineStr">
        <is>
          <t>AI-R05, AI-R07, AI-R09, AI-R15, AI-R16, AI-R17, AI-R20, AI-R28</t>
        </is>
      </c>
      <c r="H460" s="157" t="inlineStr">
        <is>
          <t>Derived via mapped controls</t>
        </is>
      </c>
      <c r="I460" s="157" t="inlineStr"/>
      <c r="J460" s="157" t="inlineStr">
        <is>
          <t>Test cases under those controls: 55</t>
        </is>
      </c>
      <c r="K460" s="157" t="inlineStr">
        <is>
          <t>https://nachi065.github.io/AI-Security-Wiki/23_Framework_Crosswalks/11_SOC_2_Crosswalk.html</t>
        </is>
      </c>
    </row>
    <row r="461">
      <c r="A461" s="6" t="inlineStr">
        <is>
          <t>Security baselines</t>
        </is>
      </c>
      <c r="B461" s="6" t="inlineStr">
        <is>
          <t>SOC 2</t>
        </is>
      </c>
      <c r="C461" s="6" t="inlineStr">
        <is>
          <t>Criteria</t>
        </is>
      </c>
      <c r="D461" s="6" t="inlineStr">
        <is>
          <t>CC4.2</t>
        </is>
      </c>
      <c r="E461" s="6" t="inlineStr">
        <is>
          <t>Communication of deficiencies</t>
        </is>
      </c>
      <c r="F461" s="6" t="inlineStr">
        <is>
          <t>AI-CTRL-038</t>
        </is>
      </c>
      <c r="G461" s="6" t="inlineStr">
        <is>
          <t>AI-R09, AI-R15, AI-R28</t>
        </is>
      </c>
      <c r="H461" s="6" t="inlineStr">
        <is>
          <t>Derived via mapped controls</t>
        </is>
      </c>
      <c r="I461" s="6" t="inlineStr"/>
      <c r="J461" s="6" t="inlineStr">
        <is>
          <t>Test cases under those controls: 17</t>
        </is>
      </c>
      <c r="K461" s="6" t="inlineStr">
        <is>
          <t>https://nachi065.github.io/AI-Security-Wiki/23_Framework_Crosswalks/11_SOC_2_Crosswalk.html</t>
        </is>
      </c>
    </row>
    <row r="462">
      <c r="A462" s="157" t="inlineStr">
        <is>
          <t>Security baselines</t>
        </is>
      </c>
      <c r="B462" s="157" t="inlineStr">
        <is>
          <t>SOC 2</t>
        </is>
      </c>
      <c r="C462" s="157" t="inlineStr">
        <is>
          <t>Criteria</t>
        </is>
      </c>
      <c r="D462" s="157" t="inlineStr">
        <is>
          <t>CC5.1</t>
        </is>
      </c>
      <c r="E462" s="157" t="inlineStr"/>
      <c r="F462" s="157" t="inlineStr">
        <is>
          <t>None</t>
        </is>
      </c>
      <c r="G462" s="157" t="inlineStr">
        <is>
          <t>None</t>
        </is>
      </c>
      <c r="H462" s="157" t="inlineStr">
        <is>
          <t>Derived via mapped controls</t>
        </is>
      </c>
      <c r="I462" s="157" t="inlineStr"/>
      <c r="J462" s="157" t="inlineStr">
        <is>
          <t>Wiki controls: None; Test cases under those controls: 0</t>
        </is>
      </c>
      <c r="K462" s="157" t="inlineStr">
        <is>
          <t>https://nachi065.github.io/AI-Security-Wiki/23_Framework_Crosswalks/11_SOC_2_Crosswalk.html</t>
        </is>
      </c>
    </row>
    <row r="463">
      <c r="A463" s="6" t="inlineStr">
        <is>
          <t>Security baselines</t>
        </is>
      </c>
      <c r="B463" s="6" t="inlineStr">
        <is>
          <t>SOC 2</t>
        </is>
      </c>
      <c r="C463" s="6" t="inlineStr">
        <is>
          <t>Criteria</t>
        </is>
      </c>
      <c r="D463" s="6" t="inlineStr">
        <is>
          <t>CC5.2</t>
        </is>
      </c>
      <c r="E463" s="6" t="inlineStr"/>
      <c r="F463" s="6" t="inlineStr">
        <is>
          <t>None</t>
        </is>
      </c>
      <c r="G463" s="6" t="inlineStr">
        <is>
          <t>None</t>
        </is>
      </c>
      <c r="H463" s="6" t="inlineStr">
        <is>
          <t>Derived via mapped controls</t>
        </is>
      </c>
      <c r="I463" s="6" t="inlineStr"/>
      <c r="J463" s="6" t="inlineStr">
        <is>
          <t>Wiki controls: None; Test cases under those controls: 0</t>
        </is>
      </c>
      <c r="K463" s="6" t="inlineStr">
        <is>
          <t>https://nachi065.github.io/AI-Security-Wiki/23_Framework_Crosswalks/11_SOC_2_Crosswalk.html</t>
        </is>
      </c>
    </row>
    <row r="464">
      <c r="A464" s="157" t="inlineStr">
        <is>
          <t>Security baselines</t>
        </is>
      </c>
      <c r="B464" s="157" t="inlineStr">
        <is>
          <t>SOC 2</t>
        </is>
      </c>
      <c r="C464" s="157" t="inlineStr">
        <is>
          <t>Criteria</t>
        </is>
      </c>
      <c r="D464" s="157" t="inlineStr">
        <is>
          <t>CC5.3</t>
        </is>
      </c>
      <c r="E464" s="157" t="inlineStr">
        <is>
          <t>Policies and procedures</t>
        </is>
      </c>
      <c r="F464" s="157" t="inlineStr">
        <is>
          <t>AI-CTRL-010, AI-CTRL-012</t>
        </is>
      </c>
      <c r="G464" s="157" t="inlineStr">
        <is>
          <t>AI-R01, AI-R02, AI-R03, AI-R18, AI-R19, AI-R27, AI-R28</t>
        </is>
      </c>
      <c r="H464" s="157" t="inlineStr">
        <is>
          <t>Derived via mapped controls</t>
        </is>
      </c>
      <c r="I464" s="157" t="inlineStr"/>
      <c r="J464" s="157" t="inlineStr">
        <is>
          <t>Test cases under those controls: 34</t>
        </is>
      </c>
      <c r="K464" s="157" t="inlineStr">
        <is>
          <t>https://nachi065.github.io/AI-Security-Wiki/23_Framework_Crosswalks/11_SOC_2_Crosswalk.html</t>
        </is>
      </c>
    </row>
    <row r="465">
      <c r="A465" s="6" t="inlineStr">
        <is>
          <t>Security baselines</t>
        </is>
      </c>
      <c r="B465" s="6" t="inlineStr">
        <is>
          <t>SOC 2</t>
        </is>
      </c>
      <c r="C465" s="6" t="inlineStr">
        <is>
          <t>Criteria</t>
        </is>
      </c>
      <c r="D465" s="6" t="inlineStr">
        <is>
          <t>CC6.1</t>
        </is>
      </c>
      <c r="E465" s="6" t="inlineStr">
        <is>
          <t>Logical access security</t>
        </is>
      </c>
      <c r="F465" s="6" t="inlineStr">
        <is>
          <t>AI-CTRL-006, AI-CTRL-015, AI-CTRL-016, AI-CTRL-017, AI-CTRL-018, AI-CTRL-022, AI-CTRL-026, AI-CTRL-028, AI-CTRL-030, AI-CTRL-032</t>
        </is>
      </c>
      <c r="G465" s="6" t="inlineStr">
        <is>
          <t>AI-R01, AI-R03, AI-R05, AI-R06, AI-R07, AI-R08, AI-R10, AI-R17, AI-R21, AI-R22, AI-R24, AI-R25</t>
        </is>
      </c>
      <c r="H465" s="6" t="inlineStr">
        <is>
          <t>Derived via mapped controls</t>
        </is>
      </c>
      <c r="I465" s="6" t="inlineStr"/>
      <c r="J465" s="6" t="inlineStr">
        <is>
          <t>Test cases under those controls: 224</t>
        </is>
      </c>
      <c r="K465" s="6" t="inlineStr">
        <is>
          <t>https://nachi065.github.io/AI-Security-Wiki/23_Framework_Crosswalks/11_SOC_2_Crosswalk.html</t>
        </is>
      </c>
    </row>
    <row r="466">
      <c r="A466" s="157" t="inlineStr">
        <is>
          <t>Security baselines</t>
        </is>
      </c>
      <c r="B466" s="157" t="inlineStr">
        <is>
          <t>SOC 2</t>
        </is>
      </c>
      <c r="C466" s="157" t="inlineStr">
        <is>
          <t>Criteria</t>
        </is>
      </c>
      <c r="D466" s="157" t="inlineStr">
        <is>
          <t>CC6.2</t>
        </is>
      </c>
      <c r="E466" s="157" t="inlineStr">
        <is>
          <t>Registration and removal of access</t>
        </is>
      </c>
      <c r="F466" s="157" t="inlineStr">
        <is>
          <t>AI-CTRL-015, AI-CTRL-025</t>
        </is>
      </c>
      <c r="G466" s="157" t="inlineStr">
        <is>
          <t>AI-R07, AI-R11, AI-R21, AI-R22, AI-R25, AI-R55</t>
        </is>
      </c>
      <c r="H466" s="157" t="inlineStr">
        <is>
          <t>Derived via mapped controls</t>
        </is>
      </c>
      <c r="I466" s="157" t="inlineStr"/>
      <c r="J466" s="157" t="inlineStr">
        <is>
          <t>Test cases under those controls: 57</t>
        </is>
      </c>
      <c r="K466" s="157" t="inlineStr">
        <is>
          <t>https://nachi065.github.io/AI-Security-Wiki/23_Framework_Crosswalks/11_SOC_2_Crosswalk.html</t>
        </is>
      </c>
    </row>
    <row r="467">
      <c r="A467" s="6" t="inlineStr">
        <is>
          <t>Security baselines</t>
        </is>
      </c>
      <c r="B467" s="6" t="inlineStr">
        <is>
          <t>SOC 2</t>
        </is>
      </c>
      <c r="C467" s="6" t="inlineStr">
        <is>
          <t>Criteria</t>
        </is>
      </c>
      <c r="D467" s="6" t="inlineStr">
        <is>
          <t>CC6.3</t>
        </is>
      </c>
      <c r="E467" s="6" t="inlineStr">
        <is>
          <t>Role-based access and least privilege</t>
        </is>
      </c>
      <c r="F467" s="6" t="inlineStr">
        <is>
          <t>AI-CTRL-016, AI-CTRL-018, AI-CTRL-022</t>
        </is>
      </c>
      <c r="G467" s="6" t="inlineStr">
        <is>
          <t>AI-R06, AI-R07, AI-R08, AI-R22, AI-R24</t>
        </is>
      </c>
      <c r="H467" s="6" t="inlineStr">
        <is>
          <t>Derived via mapped controls</t>
        </is>
      </c>
      <c r="I467" s="6" t="inlineStr"/>
      <c r="J467" s="6" t="inlineStr">
        <is>
          <t>Test cases under those controls: 78</t>
        </is>
      </c>
      <c r="K467" s="6" t="inlineStr">
        <is>
          <t>https://nachi065.github.io/AI-Security-Wiki/23_Framework_Crosswalks/11_SOC_2_Crosswalk.html</t>
        </is>
      </c>
    </row>
    <row r="468">
      <c r="A468" s="157" t="inlineStr">
        <is>
          <t>Security baselines</t>
        </is>
      </c>
      <c r="B468" s="157" t="inlineStr">
        <is>
          <t>SOC 2</t>
        </is>
      </c>
      <c r="C468" s="157" t="inlineStr">
        <is>
          <t>Criteria</t>
        </is>
      </c>
      <c r="D468" s="157" t="inlineStr">
        <is>
          <t>CC6.4</t>
        </is>
      </c>
      <c r="E468" s="157" t="inlineStr"/>
      <c r="F468" s="157" t="inlineStr">
        <is>
          <t>None</t>
        </is>
      </c>
      <c r="G468" s="157" t="inlineStr">
        <is>
          <t>None</t>
        </is>
      </c>
      <c r="H468" s="157" t="inlineStr">
        <is>
          <t>Derived via mapped controls</t>
        </is>
      </c>
      <c r="I468" s="157" t="inlineStr"/>
      <c r="J468" s="157" t="inlineStr">
        <is>
          <t>Wiki controls: None; Test cases under those controls: 0</t>
        </is>
      </c>
      <c r="K468" s="157" t="inlineStr">
        <is>
          <t>https://nachi065.github.io/AI-Security-Wiki/23_Framework_Crosswalks/11_SOC_2_Crosswalk.html</t>
        </is>
      </c>
    </row>
    <row r="469">
      <c r="A469" s="6" t="inlineStr">
        <is>
          <t>Security baselines</t>
        </is>
      </c>
      <c r="B469" s="6" t="inlineStr">
        <is>
          <t>SOC 2</t>
        </is>
      </c>
      <c r="C469" s="6" t="inlineStr">
        <is>
          <t>Criteria</t>
        </is>
      </c>
      <c r="D469" s="6" t="inlineStr">
        <is>
          <t>CC6.5</t>
        </is>
      </c>
      <c r="E469" s="6" t="inlineStr"/>
      <c r="F469" s="6" t="inlineStr">
        <is>
          <t>None</t>
        </is>
      </c>
      <c r="G469" s="6" t="inlineStr">
        <is>
          <t>None</t>
        </is>
      </c>
      <c r="H469" s="6" t="inlineStr">
        <is>
          <t>Derived via mapped controls</t>
        </is>
      </c>
      <c r="I469" s="6" t="inlineStr"/>
      <c r="J469" s="6" t="inlineStr">
        <is>
          <t>Wiki controls: None; Test cases under those controls: 0</t>
        </is>
      </c>
      <c r="K469" s="6" t="inlineStr">
        <is>
          <t>https://nachi065.github.io/AI-Security-Wiki/23_Framework_Crosswalks/11_SOC_2_Crosswalk.html</t>
        </is>
      </c>
    </row>
    <row r="470">
      <c r="A470" s="157" t="inlineStr">
        <is>
          <t>Security baselines</t>
        </is>
      </c>
      <c r="B470" s="157" t="inlineStr">
        <is>
          <t>SOC 2</t>
        </is>
      </c>
      <c r="C470" s="157" t="inlineStr">
        <is>
          <t>Criteria</t>
        </is>
      </c>
      <c r="D470" s="157" t="inlineStr">
        <is>
          <t>CC6.6</t>
        </is>
      </c>
      <c r="E470" s="157" t="inlineStr">
        <is>
          <t>Protection against threats from outside the boundary</t>
        </is>
      </c>
      <c r="F470" s="157" t="inlineStr">
        <is>
          <t>AI-CTRL-005, AI-CTRL-027, AI-CTRL-032</t>
        </is>
      </c>
      <c r="G470" s="157" t="inlineStr">
        <is>
          <t>AI-R05, AI-R06, AI-R07, AI-R08, AI-R10, AI-R21, AI-R22, AI-R24, AI-R25, AI-R55</t>
        </is>
      </c>
      <c r="H470" s="157" t="inlineStr">
        <is>
          <t>Derived via mapped controls</t>
        </is>
      </c>
      <c r="I470" s="157" t="inlineStr"/>
      <c r="J470" s="157" t="inlineStr">
        <is>
          <t>Test cases under those controls: 91</t>
        </is>
      </c>
      <c r="K470" s="157" t="inlineStr">
        <is>
          <t>https://nachi065.github.io/AI-Security-Wiki/23_Framework_Crosswalks/11_SOC_2_Crosswalk.html</t>
        </is>
      </c>
    </row>
    <row r="471">
      <c r="A471" s="6" t="inlineStr">
        <is>
          <t>Security baselines</t>
        </is>
      </c>
      <c r="B471" s="6" t="inlineStr">
        <is>
          <t>SOC 2</t>
        </is>
      </c>
      <c r="C471" s="6" t="inlineStr">
        <is>
          <t>Criteria</t>
        </is>
      </c>
      <c r="D471" s="6" t="inlineStr">
        <is>
          <t>CC6.7</t>
        </is>
      </c>
      <c r="E471" s="6" t="inlineStr">
        <is>
          <t>Transmission, movement and removal of information</t>
        </is>
      </c>
      <c r="F471" s="6" t="inlineStr">
        <is>
          <t>AI-CTRL-002, AI-CTRL-003, AI-CTRL-004, AI-CTRL-010, AI-CTRL-017, AI-CTRL-021, AI-CTRL-028</t>
        </is>
      </c>
      <c r="G471" s="6" t="inlineStr">
        <is>
          <t>AI-R01, AI-R02, AI-R03, AI-R04, AI-R05, AI-R06, AI-R08, AI-R17, AI-R22, AI-R27</t>
        </is>
      </c>
      <c r="H471" s="6" t="inlineStr">
        <is>
          <t>Derived via mapped controls</t>
        </is>
      </c>
      <c r="I471" s="6" t="inlineStr"/>
      <c r="J471" s="6" t="inlineStr">
        <is>
          <t>Test cases under those controls: 142</t>
        </is>
      </c>
      <c r="K471" s="6" t="inlineStr">
        <is>
          <t>https://nachi065.github.io/AI-Security-Wiki/23_Framework_Crosswalks/11_SOC_2_Crosswalk.html</t>
        </is>
      </c>
    </row>
    <row r="472">
      <c r="A472" s="157" t="inlineStr">
        <is>
          <t>Security baselines</t>
        </is>
      </c>
      <c r="B472" s="157" t="inlineStr">
        <is>
          <t>SOC 2</t>
        </is>
      </c>
      <c r="C472" s="157" t="inlineStr">
        <is>
          <t>Criteria</t>
        </is>
      </c>
      <c r="D472" s="157" t="inlineStr">
        <is>
          <t>CC6.8</t>
        </is>
      </c>
      <c r="E472" s="157" t="inlineStr">
        <is>
          <t>Unauthorized or malicious software</t>
        </is>
      </c>
      <c r="F472" s="157" t="inlineStr">
        <is>
          <t>AI-CTRL-001, AI-CTRL-021, AI-CTRL-024, AI-CTRL-027</t>
        </is>
      </c>
      <c r="G472" s="157" t="inlineStr">
        <is>
          <t>AI-R02, AI-R03, AI-R05, AI-R07, AI-R08, AI-R21, AI-R22, AI-R23, AI-R24, AI-R25, AI-R55</t>
        </is>
      </c>
      <c r="H472" s="157" t="inlineStr">
        <is>
          <t>Derived via mapped controls</t>
        </is>
      </c>
      <c r="I472" s="157" t="inlineStr"/>
      <c r="J472" s="157" t="inlineStr">
        <is>
          <t>Test cases under those controls: 87</t>
        </is>
      </c>
      <c r="K472" s="157" t="inlineStr">
        <is>
          <t>https://nachi065.github.io/AI-Security-Wiki/23_Framework_Crosswalks/11_SOC_2_Crosswalk.html</t>
        </is>
      </c>
    </row>
    <row r="473">
      <c r="A473" s="6" t="inlineStr">
        <is>
          <t>Security baselines</t>
        </is>
      </c>
      <c r="B473" s="6" t="inlineStr">
        <is>
          <t>SOC 2</t>
        </is>
      </c>
      <c r="C473" s="6" t="inlineStr">
        <is>
          <t>Criteria</t>
        </is>
      </c>
      <c r="D473" s="6" t="inlineStr">
        <is>
          <t>CC7.1</t>
        </is>
      </c>
      <c r="E473" s="6" t="inlineStr">
        <is>
          <t>Detection of configuration changes and vulnerabilities</t>
        </is>
      </c>
      <c r="F473" s="6" t="inlineStr">
        <is>
          <t>AI-CTRL-031, AI-CTRL-032, AI-CTRL-034</t>
        </is>
      </c>
      <c r="G473" s="6" t="inlineStr">
        <is>
          <t>AI-R05, AI-R07, AI-R08, AI-R10, AI-R16, AI-R17, AI-R20, AI-R23</t>
        </is>
      </c>
      <c r="H473" s="6" t="inlineStr">
        <is>
          <t>Derived via mapped controls</t>
        </is>
      </c>
      <c r="I473" s="6" t="inlineStr"/>
      <c r="J473" s="6" t="inlineStr">
        <is>
          <t>Test cases under those controls: 88</t>
        </is>
      </c>
      <c r="K473" s="6" t="inlineStr">
        <is>
          <t>https://nachi065.github.io/AI-Security-Wiki/23_Framework_Crosswalks/11_SOC_2_Crosswalk.html</t>
        </is>
      </c>
    </row>
    <row r="474">
      <c r="A474" s="157" t="inlineStr">
        <is>
          <t>Security baselines</t>
        </is>
      </c>
      <c r="B474" s="157" t="inlineStr">
        <is>
          <t>SOC 2</t>
        </is>
      </c>
      <c r="C474" s="157" t="inlineStr">
        <is>
          <t>Criteria</t>
        </is>
      </c>
      <c r="D474" s="157" t="inlineStr">
        <is>
          <t>CC7.2</t>
        </is>
      </c>
      <c r="E474" s="157" t="inlineStr">
        <is>
          <t>Monitoring for anomalies</t>
        </is>
      </c>
      <c r="F474" s="157" t="inlineStr">
        <is>
          <t>AI-CTRL-001, AI-CTRL-005, AI-CTRL-006, AI-CTRL-008, AI-CTRL-009</t>
        </is>
      </c>
      <c r="G474" s="157" t="inlineStr">
        <is>
          <t>AI-R02, AI-R05, AI-R06, AI-R07, AI-R09, AI-R15, AI-R24, AI-R25, AI-R26</t>
        </is>
      </c>
      <c r="H474" s="157" t="inlineStr">
        <is>
          <t>Derived via mapped controls</t>
        </is>
      </c>
      <c r="I474" s="157" t="inlineStr"/>
      <c r="J474" s="157" t="inlineStr">
        <is>
          <t>Test cases under those controls: 139</t>
        </is>
      </c>
      <c r="K474" s="157" t="inlineStr">
        <is>
          <t>https://nachi065.github.io/AI-Security-Wiki/23_Framework_Crosswalks/11_SOC_2_Crosswalk.html</t>
        </is>
      </c>
    </row>
    <row r="475">
      <c r="A475" s="6" t="inlineStr">
        <is>
          <t>Security baselines</t>
        </is>
      </c>
      <c r="B475" s="6" t="inlineStr">
        <is>
          <t>SOC 2</t>
        </is>
      </c>
      <c r="C475" s="6" t="inlineStr">
        <is>
          <t>Criteria</t>
        </is>
      </c>
      <c r="D475" s="6" t="inlineStr">
        <is>
          <t>CC7.3</t>
        </is>
      </c>
      <c r="E475" s="6" t="inlineStr">
        <is>
          <t>Evaluation of security events</t>
        </is>
      </c>
      <c r="F475" s="6" t="inlineStr">
        <is>
          <t>AI-CTRL-009, AI-CTRL-035</t>
        </is>
      </c>
      <c r="G475" s="6" t="inlineStr">
        <is>
          <t>AI-R09, AI-R20</t>
        </is>
      </c>
      <c r="H475" s="6" t="inlineStr">
        <is>
          <t>Derived via mapped controls</t>
        </is>
      </c>
      <c r="I475" s="6" t="inlineStr"/>
      <c r="J475" s="6" t="inlineStr">
        <is>
          <t>Test cases under those controls: 60</t>
        </is>
      </c>
      <c r="K475" s="6" t="inlineStr">
        <is>
          <t>https://nachi065.github.io/AI-Security-Wiki/23_Framework_Crosswalks/11_SOC_2_Crosswalk.html</t>
        </is>
      </c>
    </row>
    <row r="476">
      <c r="A476" s="157" t="inlineStr">
        <is>
          <t>Security baselines</t>
        </is>
      </c>
      <c r="B476" s="157" t="inlineStr">
        <is>
          <t>SOC 2</t>
        </is>
      </c>
      <c r="C476" s="157" t="inlineStr">
        <is>
          <t>Criteria</t>
        </is>
      </c>
      <c r="D476" s="157" t="inlineStr">
        <is>
          <t>CC7.4</t>
        </is>
      </c>
      <c r="E476" s="157" t="inlineStr">
        <is>
          <t>Incident response</t>
        </is>
      </c>
      <c r="F476" s="157" t="inlineStr">
        <is>
          <t>AI-CTRL-025, AI-CTRL-035</t>
        </is>
      </c>
      <c r="G476" s="157" t="inlineStr">
        <is>
          <t>AI-R07, AI-R09, AI-R11, AI-R20, AI-R21, AI-R25, AI-R55</t>
        </is>
      </c>
      <c r="H476" s="157" t="inlineStr">
        <is>
          <t>Derived via mapped controls</t>
        </is>
      </c>
      <c r="I476" s="157" t="inlineStr"/>
      <c r="J476" s="157" t="inlineStr">
        <is>
          <t>Test cases under those controls: 51</t>
        </is>
      </c>
      <c r="K476" s="157" t="inlineStr">
        <is>
          <t>https://nachi065.github.io/AI-Security-Wiki/23_Framework_Crosswalks/11_SOC_2_Crosswalk.html</t>
        </is>
      </c>
    </row>
    <row r="477">
      <c r="A477" s="6" t="inlineStr">
        <is>
          <t>Security baselines</t>
        </is>
      </c>
      <c r="B477" s="6" t="inlineStr">
        <is>
          <t>SOC 2</t>
        </is>
      </c>
      <c r="C477" s="6" t="inlineStr">
        <is>
          <t>Criteria</t>
        </is>
      </c>
      <c r="D477" s="6" t="inlineStr">
        <is>
          <t>CC7.5</t>
        </is>
      </c>
      <c r="E477" s="6" t="inlineStr">
        <is>
          <t>Recovery from incidents</t>
        </is>
      </c>
      <c r="F477" s="6" t="inlineStr">
        <is>
          <t>AI-CTRL-035</t>
        </is>
      </c>
      <c r="G477" s="6" t="inlineStr">
        <is>
          <t>AI-R09, AI-R20</t>
        </is>
      </c>
      <c r="H477" s="6" t="inlineStr">
        <is>
          <t>Derived via mapped controls</t>
        </is>
      </c>
      <c r="I477" s="6" t="inlineStr"/>
      <c r="J477" s="6" t="inlineStr">
        <is>
          <t>Test cases under those controls: 40</t>
        </is>
      </c>
      <c r="K477" s="6" t="inlineStr">
        <is>
          <t>https://nachi065.github.io/AI-Security-Wiki/23_Framework_Crosswalks/11_SOC_2_Crosswalk.html</t>
        </is>
      </c>
    </row>
    <row r="478">
      <c r="A478" s="157" t="inlineStr">
        <is>
          <t>Security baselines</t>
        </is>
      </c>
      <c r="B478" s="157" t="inlineStr">
        <is>
          <t>SOC 2</t>
        </is>
      </c>
      <c r="C478" s="157" t="inlineStr">
        <is>
          <t>Criteria</t>
        </is>
      </c>
      <c r="D478" s="157" t="inlineStr">
        <is>
          <t>CC8.1</t>
        </is>
      </c>
      <c r="E478" s="157" t="inlineStr">
        <is>
          <t>Change management</t>
        </is>
      </c>
      <c r="F478" s="157" t="inlineStr">
        <is>
          <t>AI-CTRL-004, AI-CTRL-019, AI-CTRL-024, AI-CTRL-030, AI-CTRL-033</t>
        </is>
      </c>
      <c r="G478" s="157" t="inlineStr">
        <is>
          <t>AI-R04, AI-R05, AI-R07, AI-R08, AI-R14, AI-R16, AI-R17, AI-R22, AI-R23, AI-R24, AI-R55</t>
        </is>
      </c>
      <c r="H478" s="157" t="inlineStr">
        <is>
          <t>Derived via mapped controls</t>
        </is>
      </c>
      <c r="I478" s="157" t="inlineStr"/>
      <c r="J478" s="157" t="inlineStr">
        <is>
          <t>Test cases under those controls: 71</t>
        </is>
      </c>
      <c r="K478" s="157" t="inlineStr">
        <is>
          <t>https://nachi065.github.io/AI-Security-Wiki/23_Framework_Crosswalks/11_SOC_2_Crosswalk.html</t>
        </is>
      </c>
    </row>
    <row r="479">
      <c r="A479" s="6" t="inlineStr">
        <is>
          <t>Security baselines</t>
        </is>
      </c>
      <c r="B479" s="6" t="inlineStr">
        <is>
          <t>SOC 2</t>
        </is>
      </c>
      <c r="C479" s="6" t="inlineStr">
        <is>
          <t>Criteria</t>
        </is>
      </c>
      <c r="D479" s="6" t="inlineStr">
        <is>
          <t>CC9.1</t>
        </is>
      </c>
      <c r="E479" s="6" t="inlineStr">
        <is>
          <t>Risk mitigation for business disruption</t>
        </is>
      </c>
      <c r="F479" s="6" t="inlineStr">
        <is>
          <t>AI-CTRL-037, AI-CTRL-040</t>
        </is>
      </c>
      <c r="G479" s="6" t="inlineStr">
        <is>
          <t>AI-R02, AI-R13, AI-R16, AI-R18, AI-R28, AI-R55</t>
        </is>
      </c>
      <c r="H479" s="6" t="inlineStr">
        <is>
          <t>Derived via mapped controls</t>
        </is>
      </c>
      <c r="I479" s="6" t="inlineStr"/>
      <c r="J479" s="6" t="inlineStr">
        <is>
          <t>Test cases under those controls: 24</t>
        </is>
      </c>
      <c r="K479" s="6" t="inlineStr">
        <is>
          <t>https://nachi065.github.io/AI-Security-Wiki/23_Framework_Crosswalks/11_SOC_2_Crosswalk.html</t>
        </is>
      </c>
    </row>
    <row r="480">
      <c r="A480" s="157" t="inlineStr">
        <is>
          <t>Security baselines</t>
        </is>
      </c>
      <c r="B480" s="157" t="inlineStr">
        <is>
          <t>SOC 2</t>
        </is>
      </c>
      <c r="C480" s="157" t="inlineStr">
        <is>
          <t>Criteria</t>
        </is>
      </c>
      <c r="D480" s="157" t="inlineStr">
        <is>
          <t>CC9.2</t>
        </is>
      </c>
      <c r="E480" s="157" t="inlineStr">
        <is>
          <t>Vendor and business partner risk</t>
        </is>
      </c>
      <c r="F480" s="157" t="inlineStr">
        <is>
          <t>AI-CTRL-007, AI-CTRL-014, AI-CTRL-024, AI-CTRL-031</t>
        </is>
      </c>
      <c r="G480" s="157" t="inlineStr">
        <is>
          <t>AI-R07, AI-R08, AI-R10, AI-R16, AI-R23, AI-R24</t>
        </is>
      </c>
      <c r="H480" s="157" t="inlineStr">
        <is>
          <t>Derived via mapped controls</t>
        </is>
      </c>
      <c r="I480" s="157" t="inlineStr"/>
      <c r="J480" s="157" t="inlineStr">
        <is>
          <t>Test cases under those controls: 77</t>
        </is>
      </c>
      <c r="K480" s="157" t="inlineStr">
        <is>
          <t>https://nachi065.github.io/AI-Security-Wiki/23_Framework_Crosswalks/11_SOC_2_Crosswalk.html</t>
        </is>
      </c>
    </row>
    <row r="481">
      <c r="A481" s="6" t="inlineStr">
        <is>
          <t>Security baselines</t>
        </is>
      </c>
      <c r="B481" s="6" t="inlineStr">
        <is>
          <t>SOC 2</t>
        </is>
      </c>
      <c r="C481" s="6" t="inlineStr">
        <is>
          <t>Criteria</t>
        </is>
      </c>
      <c r="D481" s="6" t="inlineStr">
        <is>
          <t>A1.1</t>
        </is>
      </c>
      <c r="E481" s="6" t="inlineStr">
        <is>
          <t>Capacity</t>
        </is>
      </c>
      <c r="F481" s="6" t="inlineStr">
        <is>
          <t>AI-CTRL-036, AI-CTRL-040</t>
        </is>
      </c>
      <c r="G481" s="6" t="inlineStr">
        <is>
          <t>AI-R11, AI-R13, AI-R16</t>
        </is>
      </c>
      <c r="H481" s="6" t="inlineStr">
        <is>
          <t>Derived via mapped controls</t>
        </is>
      </c>
      <c r="I481" s="6" t="inlineStr"/>
      <c r="J481" s="6" t="inlineStr">
        <is>
          <t>Test cases under those controls: 44</t>
        </is>
      </c>
      <c r="K481" s="6" t="inlineStr">
        <is>
          <t>https://nachi065.github.io/AI-Security-Wiki/23_Framework_Crosswalks/11_SOC_2_Crosswalk.html</t>
        </is>
      </c>
    </row>
    <row r="482">
      <c r="A482" s="157" t="inlineStr">
        <is>
          <t>Security baselines</t>
        </is>
      </c>
      <c r="B482" s="157" t="inlineStr">
        <is>
          <t>SOC 2</t>
        </is>
      </c>
      <c r="C482" s="157" t="inlineStr">
        <is>
          <t>Criteria</t>
        </is>
      </c>
      <c r="D482" s="157" t="inlineStr">
        <is>
          <t>A1.2</t>
        </is>
      </c>
      <c r="E482" s="157" t="inlineStr">
        <is>
          <t>Backup and recovery infrastructure</t>
        </is>
      </c>
      <c r="F482" s="157" t="inlineStr">
        <is>
          <t>AI-CTRL-040</t>
        </is>
      </c>
      <c r="G482" s="157" t="inlineStr">
        <is>
          <t>AI-R13, AI-R16</t>
        </is>
      </c>
      <c r="H482" s="157" t="inlineStr">
        <is>
          <t>Derived via mapped controls</t>
        </is>
      </c>
      <c r="I482" s="157" t="inlineStr"/>
      <c r="J482" s="157" t="inlineStr">
        <is>
          <t>Test cases under those controls: 14</t>
        </is>
      </c>
      <c r="K482" s="157" t="inlineStr">
        <is>
          <t>https://nachi065.github.io/AI-Security-Wiki/23_Framework_Crosswalks/11_SOC_2_Crosswalk.html</t>
        </is>
      </c>
    </row>
    <row r="483">
      <c r="A483" s="6" t="inlineStr">
        <is>
          <t>Security baselines</t>
        </is>
      </c>
      <c r="B483" s="6" t="inlineStr">
        <is>
          <t>SOC 2</t>
        </is>
      </c>
      <c r="C483" s="6" t="inlineStr">
        <is>
          <t>Criteria</t>
        </is>
      </c>
      <c r="D483" s="6" t="inlineStr">
        <is>
          <t>A1.3</t>
        </is>
      </c>
      <c r="E483" s="6" t="inlineStr">
        <is>
          <t>Recovery plan testing</t>
        </is>
      </c>
      <c r="F483" s="6" t="inlineStr">
        <is>
          <t>AI-CTRL-040</t>
        </is>
      </c>
      <c r="G483" s="6" t="inlineStr">
        <is>
          <t>AI-R13, AI-R16</t>
        </is>
      </c>
      <c r="H483" s="6" t="inlineStr">
        <is>
          <t>Derived via mapped controls</t>
        </is>
      </c>
      <c r="I483" s="6" t="inlineStr"/>
      <c r="J483" s="6" t="inlineStr">
        <is>
          <t>Test cases under those controls: 14</t>
        </is>
      </c>
      <c r="K483" s="6" t="inlineStr">
        <is>
          <t>https://nachi065.github.io/AI-Security-Wiki/23_Framework_Crosswalks/11_SOC_2_Crosswalk.html</t>
        </is>
      </c>
    </row>
    <row r="484">
      <c r="A484" s="157" t="inlineStr">
        <is>
          <t>Security baselines</t>
        </is>
      </c>
      <c r="B484" s="157" t="inlineStr">
        <is>
          <t>SOC 2</t>
        </is>
      </c>
      <c r="C484" s="157" t="inlineStr">
        <is>
          <t>Criteria</t>
        </is>
      </c>
      <c r="D484" s="157" t="inlineStr">
        <is>
          <t>C1.1</t>
        </is>
      </c>
      <c r="E484" s="157" t="inlineStr">
        <is>
          <t>Identification of confidential information</t>
        </is>
      </c>
      <c r="F484" s="157" t="inlineStr">
        <is>
          <t>AI-CTRL-002, AI-CTRL-003, AI-CTRL-007, AI-CTRL-017, AI-CTRL-028</t>
        </is>
      </c>
      <c r="G484" s="157" t="inlineStr">
        <is>
          <t>AI-R01, AI-R03, AI-R06, AI-R08, AI-R10, AI-R17, AI-R27</t>
        </is>
      </c>
      <c r="H484" s="157" t="inlineStr">
        <is>
          <t>Derived via mapped controls</t>
        </is>
      </c>
      <c r="I484" s="157" t="inlineStr"/>
      <c r="J484" s="157" t="inlineStr">
        <is>
          <t>Test cases under those controls: 93</t>
        </is>
      </c>
      <c r="K484" s="157" t="inlineStr">
        <is>
          <t>https://nachi065.github.io/AI-Security-Wiki/23_Framework_Crosswalks/11_SOC_2_Crosswalk.html</t>
        </is>
      </c>
    </row>
    <row r="485">
      <c r="A485" s="6" t="inlineStr">
        <is>
          <t>Security baselines</t>
        </is>
      </c>
      <c r="B485" s="6" t="inlineStr">
        <is>
          <t>SOC 2</t>
        </is>
      </c>
      <c r="C485" s="6" t="inlineStr">
        <is>
          <t>Criteria</t>
        </is>
      </c>
      <c r="D485" s="6" t="inlineStr">
        <is>
          <t>C1.2</t>
        </is>
      </c>
      <c r="E485" s="6" t="inlineStr">
        <is>
          <t>Disposal of confidential information</t>
        </is>
      </c>
      <c r="F485" s="6" t="inlineStr">
        <is>
          <t>AI-CTRL-007, AI-CTRL-017</t>
        </is>
      </c>
      <c r="G485" s="6" t="inlineStr">
        <is>
          <t>AI-R01, AI-R03, AI-R06, AI-R10, AI-R17</t>
        </is>
      </c>
      <c r="H485" s="6" t="inlineStr">
        <is>
          <t>Derived via mapped controls</t>
        </is>
      </c>
      <c r="I485" s="6" t="inlineStr"/>
      <c r="J485" s="6" t="inlineStr">
        <is>
          <t>Test cases under those controls: 52</t>
        </is>
      </c>
      <c r="K485" s="6" t="inlineStr">
        <is>
          <t>https://nachi065.github.io/AI-Security-Wiki/23_Framework_Crosswalks/11_SOC_2_Crosswalk.html</t>
        </is>
      </c>
    </row>
    <row r="486">
      <c r="A486" s="157" t="inlineStr">
        <is>
          <t>Security baselines</t>
        </is>
      </c>
      <c r="B486" s="157" t="inlineStr">
        <is>
          <t>SOC 2</t>
        </is>
      </c>
      <c r="C486" s="157" t="inlineStr">
        <is>
          <t>Criteria</t>
        </is>
      </c>
      <c r="D486" s="157" t="inlineStr">
        <is>
          <t>PI1.1</t>
        </is>
      </c>
      <c r="E486" s="157" t="inlineStr"/>
      <c r="F486" s="157" t="inlineStr">
        <is>
          <t>None</t>
        </is>
      </c>
      <c r="G486" s="157" t="inlineStr">
        <is>
          <t>None</t>
        </is>
      </c>
      <c r="H486" s="157" t="inlineStr">
        <is>
          <t>Derived via mapped controls</t>
        </is>
      </c>
      <c r="I486" s="157" t="inlineStr"/>
      <c r="J486" s="157" t="inlineStr">
        <is>
          <t>Wiki controls: None; Test cases under those controls: 0</t>
        </is>
      </c>
      <c r="K486" s="157" t="inlineStr">
        <is>
          <t>https://nachi065.github.io/AI-Security-Wiki/23_Framework_Crosswalks/11_SOC_2_Crosswalk.html</t>
        </is>
      </c>
    </row>
    <row r="487">
      <c r="A487" s="6" t="inlineStr">
        <is>
          <t>Security baselines</t>
        </is>
      </c>
      <c r="B487" s="6" t="inlineStr">
        <is>
          <t>SOC 2</t>
        </is>
      </c>
      <c r="C487" s="6" t="inlineStr">
        <is>
          <t>Criteria</t>
        </is>
      </c>
      <c r="D487" s="6" t="inlineStr">
        <is>
          <t>PI1.2</t>
        </is>
      </c>
      <c r="E487" s="6" t="inlineStr">
        <is>
          <t>Inputs</t>
        </is>
      </c>
      <c r="F487" s="6" t="inlineStr">
        <is>
          <t>AI-CTRL-019, AI-CTRL-029</t>
        </is>
      </c>
      <c r="G487" s="6" t="inlineStr">
        <is>
          <t>AI-R05, AI-R08, AI-R17</t>
        </is>
      </c>
      <c r="H487" s="6" t="inlineStr">
        <is>
          <t>Derived via mapped controls</t>
        </is>
      </c>
      <c r="I487" s="6" t="inlineStr"/>
      <c r="J487" s="6" t="inlineStr">
        <is>
          <t>Test cases under those controls: 33</t>
        </is>
      </c>
      <c r="K487" s="6" t="inlineStr">
        <is>
          <t>https://nachi065.github.io/AI-Security-Wiki/23_Framework_Crosswalks/11_SOC_2_Crosswalk.html</t>
        </is>
      </c>
    </row>
    <row r="488">
      <c r="A488" s="157" t="inlineStr">
        <is>
          <t>Security baselines</t>
        </is>
      </c>
      <c r="B488" s="157" t="inlineStr">
        <is>
          <t>SOC 2</t>
        </is>
      </c>
      <c r="C488" s="157" t="inlineStr">
        <is>
          <t>Criteria</t>
        </is>
      </c>
      <c r="D488" s="157" t="inlineStr">
        <is>
          <t>PI1.3</t>
        </is>
      </c>
      <c r="E488" s="157" t="inlineStr">
        <is>
          <t>Processing</t>
        </is>
      </c>
      <c r="F488" s="157" t="inlineStr">
        <is>
          <t>AI-CTRL-039</t>
        </is>
      </c>
      <c r="G488" s="157" t="inlineStr">
        <is>
          <t>AI-R12, AI-R14, AI-R20</t>
        </is>
      </c>
      <c r="H488" s="157" t="inlineStr">
        <is>
          <t>Derived via mapped controls</t>
        </is>
      </c>
      <c r="I488" s="157" t="inlineStr"/>
      <c r="J488" s="157" t="inlineStr">
        <is>
          <t>Test cases under those controls: 9</t>
        </is>
      </c>
      <c r="K488" s="157" t="inlineStr">
        <is>
          <t>https://nachi065.github.io/AI-Security-Wiki/23_Framework_Crosswalks/11_SOC_2_Crosswalk.html</t>
        </is>
      </c>
    </row>
    <row r="489">
      <c r="A489" s="6" t="inlineStr">
        <is>
          <t>Security baselines</t>
        </is>
      </c>
      <c r="B489" s="6" t="inlineStr">
        <is>
          <t>SOC 2</t>
        </is>
      </c>
      <c r="C489" s="6" t="inlineStr">
        <is>
          <t>Criteria</t>
        </is>
      </c>
      <c r="D489" s="6" t="inlineStr">
        <is>
          <t>PI1.4</t>
        </is>
      </c>
      <c r="E489" s="6" t="inlineStr">
        <is>
          <t>Outputs</t>
        </is>
      </c>
      <c r="F489" s="6" t="inlineStr">
        <is>
          <t>AI-CTRL-020, AI-CTRL-039</t>
        </is>
      </c>
      <c r="G489" s="6" t="inlineStr">
        <is>
          <t>AI-R05, AI-R06, AI-R12, AI-R14, AI-R20, AI-R24, AI-R26</t>
        </is>
      </c>
      <c r="H489" s="6" t="inlineStr">
        <is>
          <t>Derived via mapped controls</t>
        </is>
      </c>
      <c r="I489" s="6" t="inlineStr"/>
      <c r="J489" s="6" t="inlineStr">
        <is>
          <t>Test cases under those controls: 23</t>
        </is>
      </c>
      <c r="K489" s="6" t="inlineStr">
        <is>
          <t>https://nachi065.github.io/AI-Security-Wiki/23_Framework_Crosswalks/11_SOC_2_Crosswalk.html</t>
        </is>
      </c>
    </row>
    <row r="490">
      <c r="A490" s="157" t="inlineStr">
        <is>
          <t>Security baselines</t>
        </is>
      </c>
      <c r="B490" s="157" t="inlineStr">
        <is>
          <t>SOC 2</t>
        </is>
      </c>
      <c r="C490" s="157" t="inlineStr">
        <is>
          <t>Criteria</t>
        </is>
      </c>
      <c r="D490" s="157" t="inlineStr">
        <is>
          <t>PI1.5</t>
        </is>
      </c>
      <c r="E490" s="157" t="inlineStr">
        <is>
          <t>Stored items</t>
        </is>
      </c>
      <c r="F490" s="157" t="inlineStr">
        <is>
          <t>AI-CTRL-026</t>
        </is>
      </c>
      <c r="G490" s="157" t="inlineStr">
        <is>
          <t>AI-R05, AI-R07, AI-R21</t>
        </is>
      </c>
      <c r="H490" s="157" t="inlineStr">
        <is>
          <t>Derived via mapped controls</t>
        </is>
      </c>
      <c r="I490" s="157" t="inlineStr"/>
      <c r="J490" s="157" t="inlineStr">
        <is>
          <t>Test cases under those controls: 9</t>
        </is>
      </c>
      <c r="K490" s="157" t="inlineStr">
        <is>
          <t>https://nachi065.github.io/AI-Security-Wiki/23_Framework_Crosswalks/11_SOC_2_Crosswalk.html</t>
        </is>
      </c>
    </row>
    <row r="491">
      <c r="A491" s="6" t="inlineStr">
        <is>
          <t>Security baselines</t>
        </is>
      </c>
      <c r="B491" s="6" t="inlineStr">
        <is>
          <t>SOC 2</t>
        </is>
      </c>
      <c r="C491" s="6" t="inlineStr">
        <is>
          <t>Criteria</t>
        </is>
      </c>
      <c r="D491" s="6" t="inlineStr">
        <is>
          <t>P1.1</t>
        </is>
      </c>
      <c r="E491" s="6" t="inlineStr">
        <is>
          <t>Notice</t>
        </is>
      </c>
      <c r="F491" s="6" t="inlineStr">
        <is>
          <t>AI-CTRL-013</t>
        </is>
      </c>
      <c r="G491" s="6" t="inlineStr">
        <is>
          <t>AI-R03, AI-R10, AI-R27, AI-R28</t>
        </is>
      </c>
      <c r="H491" s="6" t="inlineStr">
        <is>
          <t>Derived via mapped controls</t>
        </is>
      </c>
      <c r="I491" s="6" t="inlineStr"/>
      <c r="J491" s="6" t="inlineStr">
        <is>
          <t>Test cases under those controls: 41</t>
        </is>
      </c>
      <c r="K491" s="6" t="inlineStr">
        <is>
          <t>https://nachi065.github.io/AI-Security-Wiki/23_Framework_Crosswalks/11_SOC_2_Crosswalk.html</t>
        </is>
      </c>
    </row>
    <row r="492">
      <c r="A492" s="157" t="inlineStr">
        <is>
          <t>Security baselines</t>
        </is>
      </c>
      <c r="B492" s="157" t="inlineStr">
        <is>
          <t>SOC 2</t>
        </is>
      </c>
      <c r="C492" s="157" t="inlineStr">
        <is>
          <t>Criteria</t>
        </is>
      </c>
      <c r="D492" s="157" t="inlineStr">
        <is>
          <t>P2.1</t>
        </is>
      </c>
      <c r="E492" s="157" t="inlineStr"/>
      <c r="F492" s="157" t="inlineStr">
        <is>
          <t>None</t>
        </is>
      </c>
      <c r="G492" s="157" t="inlineStr">
        <is>
          <t>None</t>
        </is>
      </c>
      <c r="H492" s="157" t="inlineStr">
        <is>
          <t>Derived via mapped controls</t>
        </is>
      </c>
      <c r="I492" s="157" t="inlineStr"/>
      <c r="J492" s="157" t="inlineStr">
        <is>
          <t>Wiki controls: None; Test cases under those controls: 0</t>
        </is>
      </c>
      <c r="K492" s="157" t="inlineStr">
        <is>
          <t>https://nachi065.github.io/AI-Security-Wiki/23_Framework_Crosswalks/11_SOC_2_Crosswalk.html</t>
        </is>
      </c>
    </row>
    <row r="493">
      <c r="A493" s="6" t="inlineStr">
        <is>
          <t>Security baselines</t>
        </is>
      </c>
      <c r="B493" s="6" t="inlineStr">
        <is>
          <t>SOC 2</t>
        </is>
      </c>
      <c r="C493" s="6" t="inlineStr">
        <is>
          <t>Criteria</t>
        </is>
      </c>
      <c r="D493" s="6" t="inlineStr">
        <is>
          <t>P3.1</t>
        </is>
      </c>
      <c r="E493" s="6" t="inlineStr">
        <is>
          <t>Collection</t>
        </is>
      </c>
      <c r="F493" s="6" t="inlineStr">
        <is>
          <t>AI-CTRL-013</t>
        </is>
      </c>
      <c r="G493" s="6" t="inlineStr">
        <is>
          <t>AI-R03, AI-R10, AI-R27, AI-R28</t>
        </is>
      </c>
      <c r="H493" s="6" t="inlineStr">
        <is>
          <t>Derived via mapped controls</t>
        </is>
      </c>
      <c r="I493" s="6" t="inlineStr"/>
      <c r="J493" s="6" t="inlineStr">
        <is>
          <t>Test cases under those controls: 41</t>
        </is>
      </c>
      <c r="K493" s="6" t="inlineStr">
        <is>
          <t>https://nachi065.github.io/AI-Security-Wiki/23_Framework_Crosswalks/11_SOC_2_Crosswalk.html</t>
        </is>
      </c>
    </row>
    <row r="494">
      <c r="A494" s="157" t="inlineStr">
        <is>
          <t>Security baselines</t>
        </is>
      </c>
      <c r="B494" s="157" t="inlineStr">
        <is>
          <t>SOC 2</t>
        </is>
      </c>
      <c r="C494" s="157" t="inlineStr">
        <is>
          <t>Criteria</t>
        </is>
      </c>
      <c r="D494" s="157" t="inlineStr">
        <is>
          <t>P3.2</t>
        </is>
      </c>
      <c r="E494" s="157" t="inlineStr"/>
      <c r="F494" s="157" t="inlineStr">
        <is>
          <t>None</t>
        </is>
      </c>
      <c r="G494" s="157" t="inlineStr">
        <is>
          <t>None</t>
        </is>
      </c>
      <c r="H494" s="157" t="inlineStr">
        <is>
          <t>Derived via mapped controls</t>
        </is>
      </c>
      <c r="I494" s="157" t="inlineStr"/>
      <c r="J494" s="157" t="inlineStr">
        <is>
          <t>Wiki controls: None; Test cases under those controls: 0</t>
        </is>
      </c>
      <c r="K494" s="157" t="inlineStr">
        <is>
          <t>https://nachi065.github.io/AI-Security-Wiki/23_Framework_Crosswalks/11_SOC_2_Crosswalk.html</t>
        </is>
      </c>
    </row>
    <row r="495">
      <c r="A495" s="6" t="inlineStr">
        <is>
          <t>Security baselines</t>
        </is>
      </c>
      <c r="B495" s="6" t="inlineStr">
        <is>
          <t>SOC 2</t>
        </is>
      </c>
      <c r="C495" s="6" t="inlineStr">
        <is>
          <t>Criteria</t>
        </is>
      </c>
      <c r="D495" s="6" t="inlineStr">
        <is>
          <t>P4.1</t>
        </is>
      </c>
      <c r="E495" s="6" t="inlineStr">
        <is>
          <t>Use</t>
        </is>
      </c>
      <c r="F495" s="6" t="inlineStr">
        <is>
          <t>AI-CTRL-013</t>
        </is>
      </c>
      <c r="G495" s="6" t="inlineStr">
        <is>
          <t>AI-R03, AI-R10, AI-R27, AI-R28</t>
        </is>
      </c>
      <c r="H495" s="6" t="inlineStr">
        <is>
          <t>Derived via mapped controls</t>
        </is>
      </c>
      <c r="I495" s="6" t="inlineStr"/>
      <c r="J495" s="6" t="inlineStr">
        <is>
          <t>Test cases under those controls: 41</t>
        </is>
      </c>
      <c r="K495" s="6" t="inlineStr">
        <is>
          <t>https://nachi065.github.io/AI-Security-Wiki/23_Framework_Crosswalks/11_SOC_2_Crosswalk.html</t>
        </is>
      </c>
    </row>
    <row r="496">
      <c r="A496" s="157" t="inlineStr">
        <is>
          <t>Security baselines</t>
        </is>
      </c>
      <c r="B496" s="157" t="inlineStr">
        <is>
          <t>SOC 2</t>
        </is>
      </c>
      <c r="C496" s="157" t="inlineStr">
        <is>
          <t>Criteria</t>
        </is>
      </c>
      <c r="D496" s="157" t="inlineStr">
        <is>
          <t>P4.2</t>
        </is>
      </c>
      <c r="E496" s="157" t="inlineStr">
        <is>
          <t>Retention</t>
        </is>
      </c>
      <c r="F496" s="157" t="inlineStr">
        <is>
          <t>AI-CTRL-007, AI-CTRL-013</t>
        </is>
      </c>
      <c r="G496" s="157" t="inlineStr">
        <is>
          <t>AI-R03, AI-R10, AI-R27, AI-R28</t>
        </is>
      </c>
      <c r="H496" s="157" t="inlineStr">
        <is>
          <t>Derived via mapped controls</t>
        </is>
      </c>
      <c r="I496" s="157" t="inlineStr"/>
      <c r="J496" s="157" t="inlineStr">
        <is>
          <t>Test cases under those controls: 56</t>
        </is>
      </c>
      <c r="K496" s="157" t="inlineStr">
        <is>
          <t>https://nachi065.github.io/AI-Security-Wiki/23_Framework_Crosswalks/11_SOC_2_Crosswalk.html</t>
        </is>
      </c>
    </row>
    <row r="497">
      <c r="A497" s="6" t="inlineStr">
        <is>
          <t>Security baselines</t>
        </is>
      </c>
      <c r="B497" s="6" t="inlineStr">
        <is>
          <t>SOC 2</t>
        </is>
      </c>
      <c r="C497" s="6" t="inlineStr">
        <is>
          <t>Criteria</t>
        </is>
      </c>
      <c r="D497" s="6" t="inlineStr">
        <is>
          <t>P4.3</t>
        </is>
      </c>
      <c r="E497" s="6" t="inlineStr"/>
      <c r="F497" s="6" t="inlineStr">
        <is>
          <t>None</t>
        </is>
      </c>
      <c r="G497" s="6" t="inlineStr">
        <is>
          <t>None</t>
        </is>
      </c>
      <c r="H497" s="6" t="inlineStr">
        <is>
          <t>Derived via mapped controls</t>
        </is>
      </c>
      <c r="I497" s="6" t="inlineStr"/>
      <c r="J497" s="6" t="inlineStr">
        <is>
          <t>Wiki controls: None; Test cases under those controls: 0</t>
        </is>
      </c>
      <c r="K497" s="6" t="inlineStr">
        <is>
          <t>https://nachi065.github.io/AI-Security-Wiki/23_Framework_Crosswalks/11_SOC_2_Crosswalk.html</t>
        </is>
      </c>
    </row>
    <row r="498">
      <c r="A498" s="157" t="inlineStr">
        <is>
          <t>Security baselines</t>
        </is>
      </c>
      <c r="B498" s="157" t="inlineStr">
        <is>
          <t>SOC 2</t>
        </is>
      </c>
      <c r="C498" s="157" t="inlineStr">
        <is>
          <t>Criteria</t>
        </is>
      </c>
      <c r="D498" s="157" t="inlineStr">
        <is>
          <t>P5.1</t>
        </is>
      </c>
      <c r="E498" s="157" t="inlineStr">
        <is>
          <t>Access by data subjects</t>
        </is>
      </c>
      <c r="F498" s="157" t="inlineStr">
        <is>
          <t>AI-CTRL-013</t>
        </is>
      </c>
      <c r="G498" s="157" t="inlineStr">
        <is>
          <t>AI-R03, AI-R10, AI-R27, AI-R28</t>
        </is>
      </c>
      <c r="H498" s="157" t="inlineStr">
        <is>
          <t>Derived via mapped controls</t>
        </is>
      </c>
      <c r="I498" s="157" t="inlineStr"/>
      <c r="J498" s="157" t="inlineStr">
        <is>
          <t>Test cases under those controls: 41</t>
        </is>
      </c>
      <c r="K498" s="157" t="inlineStr">
        <is>
          <t>https://nachi065.github.io/AI-Security-Wiki/23_Framework_Crosswalks/11_SOC_2_Crosswalk.html</t>
        </is>
      </c>
    </row>
    <row r="499">
      <c r="A499" s="6" t="inlineStr">
        <is>
          <t>Security baselines</t>
        </is>
      </c>
      <c r="B499" s="6" t="inlineStr">
        <is>
          <t>SOC 2</t>
        </is>
      </c>
      <c r="C499" s="6" t="inlineStr">
        <is>
          <t>Criteria</t>
        </is>
      </c>
      <c r="D499" s="6" t="inlineStr">
        <is>
          <t>P5.2</t>
        </is>
      </c>
      <c r="E499" s="6" t="inlineStr"/>
      <c r="F499" s="6" t="inlineStr">
        <is>
          <t>None</t>
        </is>
      </c>
      <c r="G499" s="6" t="inlineStr">
        <is>
          <t>None</t>
        </is>
      </c>
      <c r="H499" s="6" t="inlineStr">
        <is>
          <t>Derived via mapped controls</t>
        </is>
      </c>
      <c r="I499" s="6" t="inlineStr"/>
      <c r="J499" s="6" t="inlineStr">
        <is>
          <t>Wiki controls: None; Test cases under those controls: 0</t>
        </is>
      </c>
      <c r="K499" s="6" t="inlineStr">
        <is>
          <t>https://nachi065.github.io/AI-Security-Wiki/23_Framework_Crosswalks/11_SOC_2_Crosswalk.html</t>
        </is>
      </c>
    </row>
    <row r="500">
      <c r="A500" s="157" t="inlineStr">
        <is>
          <t>Security baselines</t>
        </is>
      </c>
      <c r="B500" s="157" t="inlineStr">
        <is>
          <t>SOC 2</t>
        </is>
      </c>
      <c r="C500" s="157" t="inlineStr">
        <is>
          <t>Criteria</t>
        </is>
      </c>
      <c r="D500" s="157" t="inlineStr">
        <is>
          <t>P6.1</t>
        </is>
      </c>
      <c r="E500" s="157" t="inlineStr"/>
      <c r="F500" s="157" t="inlineStr">
        <is>
          <t>None</t>
        </is>
      </c>
      <c r="G500" s="157" t="inlineStr">
        <is>
          <t>None</t>
        </is>
      </c>
      <c r="H500" s="157" t="inlineStr">
        <is>
          <t>Derived via mapped controls</t>
        </is>
      </c>
      <c r="I500" s="157" t="inlineStr"/>
      <c r="J500" s="157" t="inlineStr">
        <is>
          <t>Wiki controls: None; Test cases under those controls: 0</t>
        </is>
      </c>
      <c r="K500" s="157" t="inlineStr">
        <is>
          <t>https://nachi065.github.io/AI-Security-Wiki/23_Framework_Crosswalks/11_SOC_2_Crosswalk.html</t>
        </is>
      </c>
    </row>
    <row r="501">
      <c r="A501" s="6" t="inlineStr">
        <is>
          <t>Security baselines</t>
        </is>
      </c>
      <c r="B501" s="6" t="inlineStr">
        <is>
          <t>SOC 2</t>
        </is>
      </c>
      <c r="C501" s="6" t="inlineStr">
        <is>
          <t>Criteria</t>
        </is>
      </c>
      <c r="D501" s="6" t="inlineStr">
        <is>
          <t>P6.2</t>
        </is>
      </c>
      <c r="E501" s="6" t="inlineStr"/>
      <c r="F501" s="6" t="inlineStr">
        <is>
          <t>None</t>
        </is>
      </c>
      <c r="G501" s="6" t="inlineStr">
        <is>
          <t>None</t>
        </is>
      </c>
      <c r="H501" s="6" t="inlineStr">
        <is>
          <t>Derived via mapped controls</t>
        </is>
      </c>
      <c r="I501" s="6" t="inlineStr"/>
      <c r="J501" s="6" t="inlineStr">
        <is>
          <t>Wiki controls: None; Test cases under those controls: 0</t>
        </is>
      </c>
      <c r="K501" s="6" t="inlineStr">
        <is>
          <t>https://nachi065.github.io/AI-Security-Wiki/23_Framework_Crosswalks/11_SOC_2_Crosswalk.html</t>
        </is>
      </c>
    </row>
    <row r="502">
      <c r="A502" s="157" t="inlineStr">
        <is>
          <t>Security baselines</t>
        </is>
      </c>
      <c r="B502" s="157" t="inlineStr">
        <is>
          <t>SOC 2</t>
        </is>
      </c>
      <c r="C502" s="157" t="inlineStr">
        <is>
          <t>Criteria</t>
        </is>
      </c>
      <c r="D502" s="157" t="inlineStr">
        <is>
          <t>P6.3</t>
        </is>
      </c>
      <c r="E502" s="157" t="inlineStr"/>
      <c r="F502" s="157" t="inlineStr">
        <is>
          <t>None</t>
        </is>
      </c>
      <c r="G502" s="157" t="inlineStr">
        <is>
          <t>None</t>
        </is>
      </c>
      <c r="H502" s="157" t="inlineStr">
        <is>
          <t>Derived via mapped controls</t>
        </is>
      </c>
      <c r="I502" s="157" t="inlineStr"/>
      <c r="J502" s="157" t="inlineStr">
        <is>
          <t>Wiki controls: None; Test cases under those controls: 0</t>
        </is>
      </c>
      <c r="K502" s="157" t="inlineStr">
        <is>
          <t>https://nachi065.github.io/AI-Security-Wiki/23_Framework_Crosswalks/11_SOC_2_Crosswalk.html</t>
        </is>
      </c>
    </row>
    <row r="503">
      <c r="A503" s="6" t="inlineStr">
        <is>
          <t>Security baselines</t>
        </is>
      </c>
      <c r="B503" s="6" t="inlineStr">
        <is>
          <t>SOC 2</t>
        </is>
      </c>
      <c r="C503" s="6" t="inlineStr">
        <is>
          <t>Criteria</t>
        </is>
      </c>
      <c r="D503" s="6" t="inlineStr">
        <is>
          <t>P6.4</t>
        </is>
      </c>
      <c r="E503" s="6" t="inlineStr"/>
      <c r="F503" s="6" t="inlineStr">
        <is>
          <t>None</t>
        </is>
      </c>
      <c r="G503" s="6" t="inlineStr">
        <is>
          <t>None</t>
        </is>
      </c>
      <c r="H503" s="6" t="inlineStr">
        <is>
          <t>Derived via mapped controls</t>
        </is>
      </c>
      <c r="I503" s="6" t="inlineStr"/>
      <c r="J503" s="6" t="inlineStr">
        <is>
          <t>Wiki controls: None; Test cases under those controls: 0</t>
        </is>
      </c>
      <c r="K503" s="6" t="inlineStr">
        <is>
          <t>https://nachi065.github.io/AI-Security-Wiki/23_Framework_Crosswalks/11_SOC_2_Crosswalk.html</t>
        </is>
      </c>
    </row>
    <row r="504">
      <c r="A504" s="157" t="inlineStr">
        <is>
          <t>Security baselines</t>
        </is>
      </c>
      <c r="B504" s="157" t="inlineStr">
        <is>
          <t>SOC 2</t>
        </is>
      </c>
      <c r="C504" s="157" t="inlineStr">
        <is>
          <t>Criteria</t>
        </is>
      </c>
      <c r="D504" s="157" t="inlineStr">
        <is>
          <t>P6.5</t>
        </is>
      </c>
      <c r="E504" s="157" t="inlineStr"/>
      <c r="F504" s="157" t="inlineStr">
        <is>
          <t>None</t>
        </is>
      </c>
      <c r="G504" s="157" t="inlineStr">
        <is>
          <t>None</t>
        </is>
      </c>
      <c r="H504" s="157" t="inlineStr">
        <is>
          <t>Derived via mapped controls</t>
        </is>
      </c>
      <c r="I504" s="157" t="inlineStr"/>
      <c r="J504" s="157" t="inlineStr">
        <is>
          <t>Wiki controls: None; Test cases under those controls: 0</t>
        </is>
      </c>
      <c r="K504" s="157" t="inlineStr">
        <is>
          <t>https://nachi065.github.io/AI-Security-Wiki/23_Framework_Crosswalks/11_SOC_2_Crosswalk.html</t>
        </is>
      </c>
    </row>
    <row r="505">
      <c r="A505" s="6" t="inlineStr">
        <is>
          <t>Security baselines</t>
        </is>
      </c>
      <c r="B505" s="6" t="inlineStr">
        <is>
          <t>SOC 2</t>
        </is>
      </c>
      <c r="C505" s="6" t="inlineStr">
        <is>
          <t>Criteria</t>
        </is>
      </c>
      <c r="D505" s="6" t="inlineStr">
        <is>
          <t>P6.6</t>
        </is>
      </c>
      <c r="E505" s="6" t="inlineStr"/>
      <c r="F505" s="6" t="inlineStr">
        <is>
          <t>None</t>
        </is>
      </c>
      <c r="G505" s="6" t="inlineStr">
        <is>
          <t>None</t>
        </is>
      </c>
      <c r="H505" s="6" t="inlineStr">
        <is>
          <t>Derived via mapped controls</t>
        </is>
      </c>
      <c r="I505" s="6" t="inlineStr"/>
      <c r="J505" s="6" t="inlineStr">
        <is>
          <t>Wiki controls: None; Test cases under those controls: 0</t>
        </is>
      </c>
      <c r="K505" s="6" t="inlineStr">
        <is>
          <t>https://nachi065.github.io/AI-Security-Wiki/23_Framework_Crosswalks/11_SOC_2_Crosswalk.html</t>
        </is>
      </c>
    </row>
    <row r="506">
      <c r="A506" s="157" t="inlineStr">
        <is>
          <t>Security baselines</t>
        </is>
      </c>
      <c r="B506" s="157" t="inlineStr">
        <is>
          <t>SOC 2</t>
        </is>
      </c>
      <c r="C506" s="157" t="inlineStr">
        <is>
          <t>Criteria</t>
        </is>
      </c>
      <c r="D506" s="157" t="inlineStr">
        <is>
          <t>P6.7</t>
        </is>
      </c>
      <c r="E506" s="157" t="inlineStr"/>
      <c r="F506" s="157" t="inlineStr">
        <is>
          <t>None</t>
        </is>
      </c>
      <c r="G506" s="157" t="inlineStr">
        <is>
          <t>None</t>
        </is>
      </c>
      <c r="H506" s="157" t="inlineStr">
        <is>
          <t>Derived via mapped controls</t>
        </is>
      </c>
      <c r="I506" s="157" t="inlineStr"/>
      <c r="J506" s="157" t="inlineStr">
        <is>
          <t>Wiki controls: None; Test cases under those controls: 0</t>
        </is>
      </c>
      <c r="K506" s="157" t="inlineStr">
        <is>
          <t>https://nachi065.github.io/AI-Security-Wiki/23_Framework_Crosswalks/11_SOC_2_Crosswalk.html</t>
        </is>
      </c>
    </row>
    <row r="507">
      <c r="A507" s="6" t="inlineStr">
        <is>
          <t>Security baselines</t>
        </is>
      </c>
      <c r="B507" s="6" t="inlineStr">
        <is>
          <t>SOC 2</t>
        </is>
      </c>
      <c r="C507" s="6" t="inlineStr">
        <is>
          <t>Criteria</t>
        </is>
      </c>
      <c r="D507" s="6" t="inlineStr">
        <is>
          <t>P7.1</t>
        </is>
      </c>
      <c r="E507" s="6" t="inlineStr"/>
      <c r="F507" s="6" t="inlineStr">
        <is>
          <t>None</t>
        </is>
      </c>
      <c r="G507" s="6" t="inlineStr">
        <is>
          <t>None</t>
        </is>
      </c>
      <c r="H507" s="6" t="inlineStr">
        <is>
          <t>Derived via mapped controls</t>
        </is>
      </c>
      <c r="I507" s="6" t="inlineStr"/>
      <c r="J507" s="6" t="inlineStr">
        <is>
          <t>Wiki controls: None; Test cases under those controls: 0</t>
        </is>
      </c>
      <c r="K507" s="6" t="inlineStr">
        <is>
          <t>https://nachi065.github.io/AI-Security-Wiki/23_Framework_Crosswalks/11_SOC_2_Crosswalk.html</t>
        </is>
      </c>
    </row>
    <row r="508">
      <c r="A508" s="157" t="inlineStr">
        <is>
          <t>Security baselines</t>
        </is>
      </c>
      <c r="B508" s="157" t="inlineStr">
        <is>
          <t>SOC 2</t>
        </is>
      </c>
      <c r="C508" s="157" t="inlineStr">
        <is>
          <t>Criteria</t>
        </is>
      </c>
      <c r="D508" s="157" t="inlineStr">
        <is>
          <t>P8.1</t>
        </is>
      </c>
      <c r="E508" s="157" t="inlineStr"/>
      <c r="F508" s="157" t="inlineStr">
        <is>
          <t>None</t>
        </is>
      </c>
      <c r="G508" s="157" t="inlineStr">
        <is>
          <t>None</t>
        </is>
      </c>
      <c r="H508" s="157" t="inlineStr">
        <is>
          <t>Derived via mapped controls</t>
        </is>
      </c>
      <c r="I508" s="157" t="inlineStr"/>
      <c r="J508" s="157" t="inlineStr">
        <is>
          <t>Wiki controls: None; Test cases under those controls: 0</t>
        </is>
      </c>
      <c r="K508" s="157" t="inlineStr">
        <is>
          <t>https://nachi065.github.io/AI-Security-Wiki/23_Framework_Crosswalks/11_SOC_2_Crosswalk.html</t>
        </is>
      </c>
    </row>
    <row r="509">
      <c r="A509" s="6" t="inlineStr">
        <is>
          <t>Ethics and principles</t>
        </is>
      </c>
      <c r="B509" s="6" t="inlineStr">
        <is>
          <t>OECD AI Principles</t>
        </is>
      </c>
      <c r="C509" s="6" t="inlineStr">
        <is>
          <t>Principles to wiki controls</t>
        </is>
      </c>
      <c r="D509" s="6" t="inlineStr">
        <is>
          <t>Principle 1.1</t>
        </is>
      </c>
      <c r="E509" s="6" t="inlineStr">
        <is>
          <t>Inclusive growth, sustainable development and well-being</t>
        </is>
      </c>
      <c r="F509" s="6" t="inlineStr">
        <is>
          <t>AI-CTRL-011</t>
        </is>
      </c>
      <c r="G509" s="6" t="inlineStr">
        <is>
          <t>AI-R02, AI-R18</t>
        </is>
      </c>
      <c r="H509" s="6" t="inlineStr">
        <is>
          <t>Derived via mapped controls</t>
        </is>
      </c>
      <c r="I509" s="6" t="inlineStr">
        <is>
          <t>None</t>
        </is>
      </c>
      <c r="J509" s="6" t="inlineStr">
        <is>
          <t>Main wiki controls: None</t>
        </is>
      </c>
      <c r="K509" s="6" t="inlineStr">
        <is>
          <t>https://nachi065.github.io/AI-Security-Wiki/23_Framework_Crosswalks/12_OECD_AI_Principles_Crosswalk.html</t>
        </is>
      </c>
    </row>
    <row r="510">
      <c r="A510" s="157" t="inlineStr">
        <is>
          <t>Ethics and principles</t>
        </is>
      </c>
      <c r="B510" s="157" t="inlineStr">
        <is>
          <t>OECD AI Principles</t>
        </is>
      </c>
      <c r="C510" s="157" t="inlineStr">
        <is>
          <t>Principles to wiki controls</t>
        </is>
      </c>
      <c r="D510" s="157" t="inlineStr">
        <is>
          <t>Principle 1.2</t>
        </is>
      </c>
      <c r="E510" s="157" t="inlineStr">
        <is>
          <t>Respect for the rule of law, human rights and democratic values, including fairness and privacy</t>
        </is>
      </c>
      <c r="F510" s="157" t="inlineStr">
        <is>
          <t>AI-CTRL-013, AI-CTRL-041, AI-CTRL-042, AI-CTRL-045</t>
        </is>
      </c>
      <c r="G510" s="157" t="inlineStr">
        <is>
          <t>AI-R03, AI-R07, AI-R10, AI-R12, AI-R14, AI-R15, AI-R18, AI-R19, AI-R27, AI-R28</t>
        </is>
      </c>
      <c r="H510" s="157" t="inlineStr">
        <is>
          <t>Derived via mapped controls</t>
        </is>
      </c>
      <c r="I510" s="157" t="inlineStr">
        <is>
          <t>Partial</t>
        </is>
      </c>
      <c r="J510" s="157" t="inlineStr">
        <is>
          <t>What the match covers: Privacy compliance, bias testing, impact assessment on people's rights, and human oversight. Wider effects on democratic values, such as the spread of misleading content by others, are outside the wiki's scope.</t>
        </is>
      </c>
      <c r="K510" s="157" t="inlineStr">
        <is>
          <t>https://nachi065.github.io/AI-Security-Wiki/23_Framework_Crosswalks/12_OECD_AI_Principles_Crosswalk.html</t>
        </is>
      </c>
    </row>
    <row r="511">
      <c r="A511" s="6" t="inlineStr">
        <is>
          <t>Ethics and principles</t>
        </is>
      </c>
      <c r="B511" s="6" t="inlineStr">
        <is>
          <t>OECD AI Principles</t>
        </is>
      </c>
      <c r="C511" s="6" t="inlineStr">
        <is>
          <t>Principles to wiki controls</t>
        </is>
      </c>
      <c r="D511" s="6" t="inlineStr">
        <is>
          <t>Principle 1.3</t>
        </is>
      </c>
      <c r="E511" s="6" t="inlineStr">
        <is>
          <t>Transparency and explainability</t>
        </is>
      </c>
      <c r="F511" s="6" t="inlineStr">
        <is>
          <t>AI-CTRL-013, AI-CTRL-039, AI-CTRL-041</t>
        </is>
      </c>
      <c r="G511" s="6" t="inlineStr">
        <is>
          <t>AI-R03, AI-R10, AI-R12, AI-R14, AI-R15, AI-R20, AI-R27, AI-R28</t>
        </is>
      </c>
      <c r="H511" s="6" t="inlineStr">
        <is>
          <t>Derived via mapped controls</t>
        </is>
      </c>
      <c r="I511" s="6" t="inlineStr">
        <is>
          <t>Partial</t>
        </is>
      </c>
      <c r="J511" s="6" t="inlineStr">
        <is>
          <t>What the match covers: Explanations for high-impact decisions, grounded output, and the notices that privacy law requires. The wiki has no single control for telling people they are dealing with an AI system; the regional templates cover it where a law asks for it.</t>
        </is>
      </c>
      <c r="K511" s="6" t="inlineStr">
        <is>
          <t>https://nachi065.github.io/AI-Security-Wiki/23_Framework_Crosswalks/12_OECD_AI_Principles_Crosswalk.html</t>
        </is>
      </c>
    </row>
    <row r="512">
      <c r="A512" s="157" t="inlineStr">
        <is>
          <t>Ethics and principles</t>
        </is>
      </c>
      <c r="B512" s="157" t="inlineStr">
        <is>
          <t>OECD AI Principles</t>
        </is>
      </c>
      <c r="C512" s="157" t="inlineStr">
        <is>
          <t>Principles to wiki controls</t>
        </is>
      </c>
      <c r="D512" s="157" t="inlineStr">
        <is>
          <t>Principle 1.4</t>
        </is>
      </c>
      <c r="E512" s="157" t="inlineStr">
        <is>
          <t>Robustness, security and safety</t>
        </is>
      </c>
      <c r="F512" s="157" t="inlineStr">
        <is>
          <t>AI-CTRL-005, AI-CTRL-025, AI-CTRL-028, AI-CTRL-034, AI-CTRL-040</t>
        </is>
      </c>
      <c r="G512" s="157" t="inlineStr">
        <is>
          <t>AI-R05, AI-R06, AI-R07, AI-R08, AI-R11, AI-R13, AI-R16, AI-R17, AI-R20, AI-R21, AI-R24, AI-R25, AI-R55</t>
        </is>
      </c>
      <c r="H512" s="157" t="inlineStr">
        <is>
          <t>Derived via mapped controls</t>
        </is>
      </c>
      <c r="I512" s="157" t="inlineStr">
        <is>
          <t>Direct</t>
        </is>
      </c>
      <c r="J512" s="157" t="inlineStr">
        <is>
          <t>What the match covers: Security of AI systems is the wiki's main subject. These five are the closest to the principle's wording: runtime protection, the ability to stop a system, model protection, adversarial testing, and fail-safe operation. Most of the control library supports this principle.</t>
        </is>
      </c>
      <c r="K512" s="157" t="inlineStr">
        <is>
          <t>https://nachi065.github.io/AI-Security-Wiki/23_Framework_Crosswalks/12_OECD_AI_Principles_Crosswalk.html</t>
        </is>
      </c>
    </row>
    <row r="513">
      <c r="A513" s="6" t="inlineStr">
        <is>
          <t>Ethics and principles</t>
        </is>
      </c>
      <c r="B513" s="6" t="inlineStr">
        <is>
          <t>OECD AI Principles</t>
        </is>
      </c>
      <c r="C513" s="6" t="inlineStr">
        <is>
          <t>Principles to wiki controls</t>
        </is>
      </c>
      <c r="D513" s="6" t="inlineStr">
        <is>
          <t>Principle 1.5</t>
        </is>
      </c>
      <c r="E513" s="6" t="inlineStr">
        <is>
          <t>Accountability</t>
        </is>
      </c>
      <c r="F513" s="6" t="inlineStr">
        <is>
          <t>AI-CTRL-008, AI-CTRL-011, AI-CTRL-012, AI-CTRL-037, AI-CTRL-038</t>
        </is>
      </c>
      <c r="G513" s="6" t="inlineStr">
        <is>
          <t>AI-R02, AI-R03, AI-R09, AI-R15, AI-R18, AI-R19, AI-R26, AI-R27, AI-R28, AI-R55</t>
        </is>
      </c>
      <c r="H513" s="6" t="inlineStr">
        <is>
          <t>Derived via mapped controls</t>
        </is>
      </c>
      <c r="I513" s="6" t="inlineStr">
        <is>
          <t>Direct</t>
        </is>
      </c>
      <c r="J513" s="6" t="inlineStr">
        <is>
          <t>What the match covers: Named owners for each use case, roles and policy, risk assessment across the lifecycle, audit logs that make decisions traceable, and evidence that controls operate.</t>
        </is>
      </c>
      <c r="K513" s="6" t="inlineStr">
        <is>
          <t>https://nachi065.github.io/AI-Security-Wiki/23_Framework_Crosswalks/12_OECD_AI_Principles_Crosswalk.html</t>
        </is>
      </c>
    </row>
    <row r="514">
      <c r="A514" s="157" t="inlineStr">
        <is>
          <t>Privacy and regulation</t>
        </is>
      </c>
      <c r="B514" s="157" t="inlineStr">
        <is>
          <t>Privacy laws (8 laws)</t>
        </is>
      </c>
      <c r="C514" s="157" t="inlineStr">
        <is>
          <t>European Union, California, Quebec and Singapore</t>
        </is>
      </c>
      <c r="D514" s="157" t="inlineStr">
        <is>
          <t>Automated decisions about individuals</t>
        </is>
      </c>
      <c r="E514" s="157" t="inlineStr">
        <is>
          <t>Art. 22: a right not to be subject to a solely automated decision with legal or similarly significant effect, with exceptions and safeguards</t>
        </is>
      </c>
      <c r="F514" s="157" t="inlineStr">
        <is>
          <t>AI-CTRL-013, AI-CTRL-023, AI-CTRL-041, AI-CTRL-045</t>
        </is>
      </c>
      <c r="G514" s="157" t="inlineStr">
        <is>
          <t>AI-R03, AI-R07, AI-R10, AI-R12, AI-R14, AI-R15, AI-R18, AI-R19, AI-R27, AI-R28</t>
        </is>
      </c>
      <c r="H514" s="157" t="inlineStr">
        <is>
          <t>Derived via mapped controls</t>
        </is>
      </c>
      <c r="I514" s="157" t="inlineStr"/>
      <c r="J514" s="157" t="inlineStr">
        <is>
          <t>CCPA: Regulations on automated decision-making technology: pre-use notice, opt-out and access for significant decisions; see row US8 for dates; Quebec Law 25: s. 12.1: tell the person when a decision is made only by automated processing, explain it on request, and let them have it reviewed by a person; Singapore PDPA: No specific right. The PDPC advisory guidelines on AI recommendation and decision systems apply the general obligations</t>
        </is>
      </c>
      <c r="K514" s="157" t="inlineStr">
        <is>
          <t>https://nachi065.github.io/AI-Security-Wiki/23_Framework_Crosswalks/13_Privacy_Law_Crosswalk.html</t>
        </is>
      </c>
    </row>
    <row r="515">
      <c r="A515" s="6" t="inlineStr">
        <is>
          <t>Privacy and regulation</t>
        </is>
      </c>
      <c r="B515" s="6" t="inlineStr">
        <is>
          <t>Privacy laws (8 laws)</t>
        </is>
      </c>
      <c r="C515" s="6" t="inlineStr">
        <is>
          <t>European Union, California, Quebec and Singapore</t>
        </is>
      </c>
      <c r="D515" s="6" t="inlineStr">
        <is>
          <t>Impact assessment before risky processing</t>
        </is>
      </c>
      <c r="E515" s="6" t="inlineStr">
        <is>
          <t>Art. 35: data protection impact assessment for high-risk processing</t>
        </is>
      </c>
      <c r="F515" s="6" t="inlineStr">
        <is>
          <t>AI-CTRL-042</t>
        </is>
      </c>
      <c r="G515" s="6" t="inlineStr">
        <is>
          <t>AI-R10, AI-R12, AI-R28</t>
        </is>
      </c>
      <c r="H515" s="6" t="inlineStr">
        <is>
          <t>Derived via mapped controls</t>
        </is>
      </c>
      <c r="I515" s="6" t="inlineStr"/>
      <c r="J515" s="6" t="inlineStr">
        <is>
          <t>CCPA: Risk assessment regulations; see row US8 for dates; Quebec Law 25: s. 3.3: privacy impact assessment for any project that acquires, develops or redesigns a system that handles personal information; Singapore PDPA: No general duty. An assessment is required to rely on deemed consent by notification or on the legitimate interests exception</t>
        </is>
      </c>
      <c r="K515" s="6" t="inlineStr">
        <is>
          <t>https://nachi065.github.io/AI-Security-Wiki/23_Framework_Crosswalks/13_Privacy_Law_Crosswalk.html</t>
        </is>
      </c>
    </row>
    <row r="516">
      <c r="A516" s="157" t="inlineStr">
        <is>
          <t>Privacy and regulation</t>
        </is>
      </c>
      <c r="B516" s="157" t="inlineStr">
        <is>
          <t>Privacy laws (8 laws)</t>
        </is>
      </c>
      <c r="C516" s="157" t="inlineStr">
        <is>
          <t>European Union, California, Quebec and Singapore</t>
        </is>
      </c>
      <c r="D516" s="157" t="inlineStr">
        <is>
          <t>Breach notification</t>
        </is>
      </c>
      <c r="E516" s="157" t="inlineStr">
        <is>
          <t>Arts. 33 and 34: to the authority within 72 hours, and to individuals when the risk is high</t>
        </is>
      </c>
      <c r="F516" s="157" t="inlineStr">
        <is>
          <t>AI-CTRL-035, AI-CTRL-043</t>
        </is>
      </c>
      <c r="G516" s="157" t="inlineStr">
        <is>
          <t>AI-R09, AI-R10, AI-R20</t>
        </is>
      </c>
      <c r="H516" s="157" t="inlineStr">
        <is>
          <t>Derived via mapped controls</t>
        </is>
      </c>
      <c r="I516" s="157" t="inlineStr"/>
      <c r="J516" s="157" t="inlineStr">
        <is>
          <t>CCPA: Not in the CCPA itself. California's breach notice statute (Civil Code s. 1798.82) applies, and s. 1798.150 gives a private right of action after some breaches; Quebec Law 25: ss. 3.5 to 3.8: report a confidentiality incident that presents a risk of serious injury, and keep a register of all incidents; Singapore PDPA: Part 6A: notify the PDPC within 3 calendar days of assessing a breach as notifiable</t>
        </is>
      </c>
      <c r="K516" s="157" t="inlineStr">
        <is>
          <t>https://nachi065.github.io/AI-Security-Wiki/23_Framework_Crosswalks/13_Privacy_Law_Crosswalk.html</t>
        </is>
      </c>
    </row>
    <row r="517">
      <c r="A517" s="6" t="inlineStr">
        <is>
          <t>Privacy and regulation</t>
        </is>
      </c>
      <c r="B517" s="6" t="inlineStr">
        <is>
          <t>Privacy laws (8 laws)</t>
        </is>
      </c>
      <c r="C517" s="6" t="inlineStr">
        <is>
          <t>European Union, California, Quebec and Singapore</t>
        </is>
      </c>
      <c r="D517" s="6" t="inlineStr">
        <is>
          <t>Transfers outside the jurisdiction</t>
        </is>
      </c>
      <c r="E517" s="6" t="inlineStr">
        <is>
          <t>Chapter V (Arts. 44 to 49): adequacy decision, safeguards or a derogation</t>
        </is>
      </c>
      <c r="F517" s="6" t="inlineStr">
        <is>
          <t>AI-CTRL-007</t>
        </is>
      </c>
      <c r="G517" s="6" t="inlineStr">
        <is>
          <t>AI-R10</t>
        </is>
      </c>
      <c r="H517" s="6" t="inlineStr">
        <is>
          <t>Derived via mapped controls</t>
        </is>
      </c>
      <c r="I517" s="6" t="inlineStr"/>
      <c r="J517" s="6" t="inlineStr">
        <is>
          <t>CCPA: No restriction on transfers abroad; Quebec Law 25: s. 17: privacy impact assessment before personal information leaves Quebec; Singapore PDPA: s. 26: the recipient must give comparable protection</t>
        </is>
      </c>
      <c r="K517" s="6" t="inlineStr">
        <is>
          <t>https://nachi065.github.io/AI-Security-Wiki/23_Framework_Crosswalks/13_Privacy_Law_Crosswalk.html</t>
        </is>
      </c>
    </row>
    <row r="518">
      <c r="A518" s="157" t="inlineStr">
        <is>
          <t>Privacy and regulation</t>
        </is>
      </c>
      <c r="B518" s="157" t="inlineStr">
        <is>
          <t>Privacy laws (8 laws)</t>
        </is>
      </c>
      <c r="C518" s="157" t="inlineStr">
        <is>
          <t>European Union, California, Quebec and Singapore</t>
        </is>
      </c>
      <c r="D518" s="157" t="inlineStr">
        <is>
          <t>Retention and deletion</t>
        </is>
      </c>
      <c r="E518" s="157" t="inlineStr">
        <is>
          <t>Art. 5(1)(e) storage limitation; Art. 17 erasure</t>
        </is>
      </c>
      <c r="F518" s="157" t="inlineStr">
        <is>
          <t>AI-CTRL-007, AI-CTRL-017</t>
        </is>
      </c>
      <c r="G518" s="157" t="inlineStr">
        <is>
          <t>AI-R01, AI-R03, AI-R06, AI-R10, AI-R17</t>
        </is>
      </c>
      <c r="H518" s="157" t="inlineStr">
        <is>
          <t>Derived via mapped controls</t>
        </is>
      </c>
      <c r="I518" s="157" t="inlineStr"/>
      <c r="J518" s="157" t="inlineStr">
        <is>
          <t>CCPA: Disclose retention periods and keep data no longer than reasonably necessary; right to delete; Quebec Law 25: s. 23: destroy or anonymize when the purpose is met; Singapore PDPA: s. 25: stop retaining when the purpose no longer needs it. There is no right to erasure</t>
        </is>
      </c>
      <c r="K518" s="157" t="inlineStr">
        <is>
          <t>https://nachi065.github.io/AI-Security-Wiki/23_Framework_Crosswalks/13_Privacy_Law_Crosswalk.html</t>
        </is>
      </c>
    </row>
    <row r="519">
      <c r="A519" s="6" t="inlineStr">
        <is>
          <t>Privacy and regulation</t>
        </is>
      </c>
      <c r="B519" s="6" t="inlineStr">
        <is>
          <t>Privacy laws (8 laws)</t>
        </is>
      </c>
      <c r="C519" s="6" t="inlineStr">
        <is>
          <t>European Union, California, Quebec and Singapore</t>
        </is>
      </c>
      <c r="D519" s="6" t="inlineStr">
        <is>
          <t>Requests from individuals</t>
        </is>
      </c>
      <c r="E519" s="6" t="inlineStr">
        <is>
          <t>Arts. 15 to 21: access, rectification, erasure, restriction, portability and objection</t>
        </is>
      </c>
      <c r="F519" s="6" t="inlineStr">
        <is>
          <t>AI-CTRL-013</t>
        </is>
      </c>
      <c r="G519" s="6" t="inlineStr">
        <is>
          <t>AI-R03, AI-R10, AI-R27, AI-R28</t>
        </is>
      </c>
      <c r="H519" s="6" t="inlineStr">
        <is>
          <t>Derived via mapped controls</t>
        </is>
      </c>
      <c r="I519" s="6" t="inlineStr"/>
      <c r="J519" s="6" t="inlineStr">
        <is>
          <t>CCPA: Rights to know, delete, correct, and opt out of sale or sharing; Quebec Law 25: ss. 27 to 28.1: access, rectification, and an end to dissemination; Singapore PDPA: ss. 21 and 22: access and correction</t>
        </is>
      </c>
      <c r="K519" s="6" t="inlineStr">
        <is>
          <t>https://nachi065.github.io/AI-Security-Wiki/23_Framework_Crosswalks/13_Privacy_Law_Crosswalk.html</t>
        </is>
      </c>
    </row>
    <row r="520">
      <c r="A520" s="157" t="inlineStr">
        <is>
          <t>Privacy and regulation</t>
        </is>
      </c>
      <c r="B520" s="157" t="inlineStr">
        <is>
          <t>Privacy laws (8 laws)</t>
        </is>
      </c>
      <c r="C520" s="157" t="inlineStr">
        <is>
          <t>European Union, California, Quebec and Singapore</t>
        </is>
      </c>
      <c r="D520" s="157" t="inlineStr">
        <is>
          <t>Vendors that process the data</t>
        </is>
      </c>
      <c r="E520" s="157" t="inlineStr">
        <is>
          <t>Art. 28: processor contract with set terms</t>
        </is>
      </c>
      <c r="F520" s="157" t="inlineStr">
        <is>
          <t>AI-CTRL-014</t>
        </is>
      </c>
      <c r="G520" s="157" t="inlineStr">
        <is>
          <t>AI-R08, AI-R10, AI-R16</t>
        </is>
      </c>
      <c r="H520" s="157" t="inlineStr">
        <is>
          <t>Derived via mapped controls</t>
        </is>
      </c>
      <c r="I520" s="157" t="inlineStr"/>
      <c r="J520" s="157" t="inlineStr">
        <is>
          <t>CCPA: Written contract with each service provider and contractor; Quebec Law 25: s. 18.3: written agreement with the service provider; Singapore PDPA: Data intermediaries carry the protection, retention and breach duties directly; the organization stays responsible</t>
        </is>
      </c>
      <c r="K520" s="157" t="inlineStr">
        <is>
          <t>https://nachi065.github.io/AI-Security-Wiki/23_Framework_Crosswalks/13_Privacy_Law_Crosswalk.html</t>
        </is>
      </c>
    </row>
    <row r="521">
      <c r="A521" s="6" t="inlineStr">
        <is>
          <t>Privacy and regulation</t>
        </is>
      </c>
      <c r="B521" s="6" t="inlineStr">
        <is>
          <t>Privacy laws (8 laws)</t>
        </is>
      </c>
      <c r="C521" s="6" t="inlineStr">
        <is>
          <t>United Arab Emirates, Saudi Arabia, Qatar and Bahrain</t>
        </is>
      </c>
      <c r="D521" s="6" t="inlineStr">
        <is>
          <t>Automated decisions about individuals</t>
        </is>
      </c>
      <c r="E521" s="6" t="inlineStr">
        <is>
          <t>Art. 18: a right to object to decisions made by automated processing that have legal or serious effects</t>
        </is>
      </c>
      <c r="F521" s="6" t="inlineStr">
        <is>
          <t>AI-CTRL-013, AI-CTRL-023, AI-CTRL-041, AI-CTRL-045</t>
        </is>
      </c>
      <c r="G521" s="6" t="inlineStr">
        <is>
          <t>AI-R03, AI-R07, AI-R10, AI-R12, AI-R14, AI-R15, AI-R18, AI-R19, AI-R27, AI-R28</t>
        </is>
      </c>
      <c r="H521" s="6" t="inlineStr">
        <is>
          <t>Derived via mapped controls</t>
        </is>
      </c>
      <c r="I521" s="6" t="inlineStr"/>
      <c r="J521" s="6" t="inlineStr">
        <is>
          <t>Saudi PDPL: Not researched; Qatar PDPPL: Not researched; Bahrain PDPL: Art. 22: a right to object to decisions based only on automated processing [Unverified]</t>
        </is>
      </c>
      <c r="K521" s="6" t="inlineStr">
        <is>
          <t>https://nachi065.github.io/AI-Security-Wiki/23_Framework_Crosswalks/13_Privacy_Law_Crosswalk.html</t>
        </is>
      </c>
    </row>
    <row r="522">
      <c r="A522" s="157" t="inlineStr">
        <is>
          <t>Privacy and regulation</t>
        </is>
      </c>
      <c r="B522" s="157" t="inlineStr">
        <is>
          <t>Privacy laws (8 laws)</t>
        </is>
      </c>
      <c r="C522" s="157" t="inlineStr">
        <is>
          <t>United Arab Emirates, Saudi Arabia, Qatar and Bahrain</t>
        </is>
      </c>
      <c r="D522" s="157" t="inlineStr">
        <is>
          <t>Impact assessment before risky processing</t>
        </is>
      </c>
      <c r="E522" s="157" t="inlineStr">
        <is>
          <t>Art. 21: data protection impact assessment for high-risk processing</t>
        </is>
      </c>
      <c r="F522" s="157" t="inlineStr">
        <is>
          <t>AI-CTRL-042</t>
        </is>
      </c>
      <c r="G522" s="157" t="inlineStr">
        <is>
          <t>AI-R10, AI-R12, AI-R28</t>
        </is>
      </c>
      <c r="H522" s="157" t="inlineStr">
        <is>
          <t>Derived via mapped controls</t>
        </is>
      </c>
      <c r="I522" s="157" t="inlineStr"/>
      <c r="J522" s="157" t="inlineStr">
        <is>
          <t>Saudi PDPL: Required by the Implementing Regulation in listed cases [Unverified]; Qatar PDPPL: Expected by the regulator's guidelines [Unverified]; Bahrain PDPL: No impact assessment recalled. Some processing needs prior notice to, or authorization from, the Authority [Unverified]</t>
        </is>
      </c>
      <c r="K522" s="157" t="inlineStr">
        <is>
          <t>https://nachi065.github.io/AI-Security-Wiki/23_Framework_Crosswalks/13_Privacy_Law_Crosswalk.html</t>
        </is>
      </c>
    </row>
    <row r="523">
      <c r="A523" s="6" t="inlineStr">
        <is>
          <t>Privacy and regulation</t>
        </is>
      </c>
      <c r="B523" s="6" t="inlineStr">
        <is>
          <t>Privacy laws (8 laws)</t>
        </is>
      </c>
      <c r="C523" s="6" t="inlineStr">
        <is>
          <t>United Arab Emirates, Saudi Arabia, Qatar and Bahrain</t>
        </is>
      </c>
      <c r="D523" s="6" t="inlineStr">
        <is>
          <t>Breach notification</t>
        </is>
      </c>
      <c r="E523" s="6" t="inlineStr">
        <is>
          <t>Art. 9: to the Data Office, and to individuals where their privacy is at risk. The period is left to the Executive Regulation</t>
        </is>
      </c>
      <c r="F523" s="6" t="inlineStr">
        <is>
          <t>AI-CTRL-035, AI-CTRL-043</t>
        </is>
      </c>
      <c r="G523" s="6" t="inlineStr">
        <is>
          <t>AI-R09, AI-R10, AI-R20</t>
        </is>
      </c>
      <c r="H523" s="6" t="inlineStr">
        <is>
          <t>Derived via mapped controls</t>
        </is>
      </c>
      <c r="I523" s="6" t="inlineStr"/>
      <c r="J523" s="6" t="inlineStr">
        <is>
          <t>Saudi PDPL: Art. 20, with 72 hours to the authority under the Implementing Regulation; Qatar PDPPL: Art. 14: to the authority and the individual when serious damage may follow [Unverified]; Bahrain PDPL: Not researched</t>
        </is>
      </c>
      <c r="K523" s="6" t="inlineStr">
        <is>
          <t>https://nachi065.github.io/AI-Security-Wiki/23_Framework_Crosswalks/13_Privacy_Law_Crosswalk.html</t>
        </is>
      </c>
    </row>
    <row r="524">
      <c r="A524" s="157" t="inlineStr">
        <is>
          <t>Privacy and regulation</t>
        </is>
      </c>
      <c r="B524" s="157" t="inlineStr">
        <is>
          <t>Privacy laws (8 laws)</t>
        </is>
      </c>
      <c r="C524" s="157" t="inlineStr">
        <is>
          <t>United Arab Emirates, Saudi Arabia, Qatar and Bahrain</t>
        </is>
      </c>
      <c r="D524" s="157" t="inlineStr">
        <is>
          <t>Transfers outside the jurisdiction</t>
        </is>
      </c>
      <c r="E524" s="157" t="inlineStr">
        <is>
          <t>Arts. 22 and 23: adequate protection, or a listed exception</t>
        </is>
      </c>
      <c r="F524" s="157" t="inlineStr">
        <is>
          <t>AI-CTRL-007</t>
        </is>
      </c>
      <c r="G524" s="157" t="inlineStr">
        <is>
          <t>AI-R10</t>
        </is>
      </c>
      <c r="H524" s="157" t="inlineStr">
        <is>
          <t>Derived via mapped controls</t>
        </is>
      </c>
      <c r="I524" s="157" t="inlineStr"/>
      <c r="J524" s="157" t="inlineStr">
        <is>
          <t>Saudi PDPL: Art. 29 and the transfer regulation; Qatar PDPPL: Art. 15 [Unverified]; Bahrain PDPL: Arts. 12 and 13: adequate countries listed by the Authority, or its authorization [Unverified]</t>
        </is>
      </c>
      <c r="K524" s="157" t="inlineStr">
        <is>
          <t>https://nachi065.github.io/AI-Security-Wiki/23_Framework_Crosswalks/13_Privacy_Law_Crosswalk.html</t>
        </is>
      </c>
    </row>
    <row r="525">
      <c r="A525" s="6" t="inlineStr">
        <is>
          <t>Privacy and regulation</t>
        </is>
      </c>
      <c r="B525" s="6" t="inlineStr">
        <is>
          <t>Privacy laws (8 laws)</t>
        </is>
      </c>
      <c r="C525" s="6" t="inlineStr">
        <is>
          <t>United Arab Emirates, Saudi Arabia, Qatar and Bahrain</t>
        </is>
      </c>
      <c r="D525" s="6" t="inlineStr">
        <is>
          <t>Retention and deletion</t>
        </is>
      </c>
      <c r="E525" s="6" t="inlineStr">
        <is>
          <t>Art. 5: keep no longer than the purpose needs; Art. 15 erasure</t>
        </is>
      </c>
      <c r="F525" s="6" t="inlineStr">
        <is>
          <t>AI-CTRL-007, AI-CTRL-017</t>
        </is>
      </c>
      <c r="G525" s="6" t="inlineStr">
        <is>
          <t>AI-R01, AI-R03, AI-R06, AI-R10, AI-R17</t>
        </is>
      </c>
      <c r="H525" s="6" t="inlineStr">
        <is>
          <t>Derived via mapped controls</t>
        </is>
      </c>
      <c r="I525" s="6" t="inlineStr"/>
      <c r="J525" s="6" t="inlineStr">
        <is>
          <t>Saudi PDPL: Art. 18: destroy when the purpose ends; Qatar PDPPL: Not researched; Bahrain PDPL: Not researched</t>
        </is>
      </c>
      <c r="K525" s="6" t="inlineStr">
        <is>
          <t>https://nachi065.github.io/AI-Security-Wiki/23_Framework_Crosswalks/13_Privacy_Law_Crosswalk.html</t>
        </is>
      </c>
    </row>
    <row r="526">
      <c r="A526" s="157" t="inlineStr">
        <is>
          <t>Privacy and regulation</t>
        </is>
      </c>
      <c r="B526" s="157" t="inlineStr">
        <is>
          <t>Privacy laws (8 laws)</t>
        </is>
      </c>
      <c r="C526" s="157" t="inlineStr">
        <is>
          <t>United Arab Emirates, Saudi Arabia, Qatar and Bahrain</t>
        </is>
      </c>
      <c r="D526" s="157" t="inlineStr">
        <is>
          <t>Requests from individuals</t>
        </is>
      </c>
      <c r="E526" s="157" t="inlineStr">
        <is>
          <t>Arts. 13 to 18</t>
        </is>
      </c>
      <c r="F526" s="157" t="inlineStr">
        <is>
          <t>AI-CTRL-013</t>
        </is>
      </c>
      <c r="G526" s="157" t="inlineStr">
        <is>
          <t>AI-R03, AI-R10, AI-R27, AI-R28</t>
        </is>
      </c>
      <c r="H526" s="157" t="inlineStr">
        <is>
          <t>Derived via mapped controls</t>
        </is>
      </c>
      <c r="I526" s="157" t="inlineStr"/>
      <c r="J526" s="157" t="inlineStr">
        <is>
          <t>Saudi PDPL: Art. 4; Qatar PDPPL: Not researched; Bahrain PDPL: Not researched</t>
        </is>
      </c>
      <c r="K526" s="157" t="inlineStr">
        <is>
          <t>https://nachi065.github.io/AI-Security-Wiki/23_Framework_Crosswalks/13_Privacy_Law_Crosswalk.html</t>
        </is>
      </c>
    </row>
    <row r="527">
      <c r="A527" s="6" t="inlineStr">
        <is>
          <t>Privacy and regulation</t>
        </is>
      </c>
      <c r="B527" s="6" t="inlineStr">
        <is>
          <t>Privacy laws (8 laws)</t>
        </is>
      </c>
      <c r="C527" s="6" t="inlineStr">
        <is>
          <t>United Arab Emirates, Saudi Arabia, Qatar and Bahrain</t>
        </is>
      </c>
      <c r="D527" s="6" t="inlineStr">
        <is>
          <t>Vendors that process the data</t>
        </is>
      </c>
      <c r="E527" s="6" t="inlineStr">
        <is>
          <t>Art. 8: processor duties</t>
        </is>
      </c>
      <c r="F527" s="6" t="inlineStr">
        <is>
          <t>AI-CTRL-014</t>
        </is>
      </c>
      <c r="G527" s="6" t="inlineStr">
        <is>
          <t>AI-R08, AI-R10, AI-R16</t>
        </is>
      </c>
      <c r="H527" s="6" t="inlineStr">
        <is>
          <t>Derived via mapped controls</t>
        </is>
      </c>
      <c r="I527" s="6" t="inlineStr"/>
      <c r="J527" s="6" t="inlineStr">
        <is>
          <t>Saudi PDPL: Art. 8: the controller must choose a processor that gives guarantees and stays responsible; Qatar PDPPL: Not researched; Bahrain PDPL: Not researched</t>
        </is>
      </c>
      <c r="K527" s="6" t="inlineStr">
        <is>
          <t>https://nachi065.github.io/AI-Security-Wiki/23_Framework_Crosswalks/13_Privacy_Law_Crosswalk.html</t>
        </is>
      </c>
    </row>
    <row r="528">
      <c r="A528" s="157" t="inlineStr">
        <is>
          <t>AI security</t>
        </is>
      </c>
      <c r="B528" s="157" t="inlineStr">
        <is>
          <t>NIST AI 100-2 (adversarial ML)</t>
        </is>
      </c>
      <c r="C528" s="157" t="inlineStr">
        <is>
          <t>Attack classes to wiki controls</t>
        </is>
      </c>
      <c r="D528" s="157" t="inlineStr">
        <is>
          <t>NISTAML.011</t>
        </is>
      </c>
      <c r="E528" s="157" t="inlineStr">
        <is>
          <t>Model poisoning</t>
        </is>
      </c>
      <c r="F528" s="157" t="inlineStr">
        <is>
          <t>AI-CTRL-028, AI-CTRL-030, AI-CTRL-031</t>
        </is>
      </c>
      <c r="G528" s="157" t="inlineStr">
        <is>
          <t>AI-R08, AI-R16, AI-R23</t>
        </is>
      </c>
      <c r="H528" s="157" t="inlineStr">
        <is>
          <t>Derived via mapped controls</t>
        </is>
      </c>
      <c r="I528" s="157" t="inlineStr"/>
      <c r="J528" s="157" t="inlineStr">
        <is>
          <t>Objective: Availability (predictive); Test case layers: L14, L16</t>
        </is>
      </c>
      <c r="K528" s="157" t="inlineStr">
        <is>
          <t>https://nachi065.github.io/AI-Security-Wiki/23_Framework_Crosswalks/14_NIST_AI_100_2_Crosswalk.html</t>
        </is>
      </c>
    </row>
    <row r="529">
      <c r="A529" s="6" t="inlineStr">
        <is>
          <t>AI security</t>
        </is>
      </c>
      <c r="B529" s="6" t="inlineStr">
        <is>
          <t>NIST AI 100-2 (adversarial ML)</t>
        </is>
      </c>
      <c r="C529" s="6" t="inlineStr">
        <is>
          <t>Attack classes to wiki controls</t>
        </is>
      </c>
      <c r="D529" s="6" t="inlineStr">
        <is>
          <t>NISTAML.012</t>
        </is>
      </c>
      <c r="E529" s="6" t="inlineStr">
        <is>
          <t>Clean-label poisoning</t>
        </is>
      </c>
      <c r="F529" s="6" t="inlineStr">
        <is>
          <t>AI-CTRL-029, AI-CTRL-034</t>
        </is>
      </c>
      <c r="G529" s="6" t="inlineStr">
        <is>
          <t>AI-R05, AI-R07, AI-R08, AI-R16, AI-R17, AI-R20</t>
        </is>
      </c>
      <c r="H529" s="6" t="inlineStr">
        <is>
          <t>Derived via mapped controls</t>
        </is>
      </c>
      <c r="I529" s="6" t="inlineStr"/>
      <c r="J529" s="6" t="inlineStr">
        <is>
          <t>Objective: Availability and integrity (predictive); Test case layers: L13</t>
        </is>
      </c>
      <c r="K529" s="6" t="inlineStr">
        <is>
          <t>https://nachi065.github.io/AI-Security-Wiki/23_Framework_Crosswalks/14_NIST_AI_100_2_Crosswalk.html</t>
        </is>
      </c>
    </row>
    <row r="530">
      <c r="A530" s="157" t="inlineStr">
        <is>
          <t>AI security</t>
        </is>
      </c>
      <c r="B530" s="157" t="inlineStr">
        <is>
          <t>NIST AI 100-2 (adversarial ML)</t>
        </is>
      </c>
      <c r="C530" s="157" t="inlineStr">
        <is>
          <t>Attack classes to wiki controls</t>
        </is>
      </c>
      <c r="D530" s="157" t="inlineStr">
        <is>
          <t>NISTAML.013</t>
        </is>
      </c>
      <c r="E530" s="157" t="inlineStr">
        <is>
          <t>Data poisoning</t>
        </is>
      </c>
      <c r="F530" s="157" t="inlineStr">
        <is>
          <t>AI-CTRL-019, AI-CTRL-029, AI-CTRL-034</t>
        </is>
      </c>
      <c r="G530" s="157" t="inlineStr">
        <is>
          <t>AI-R05, AI-R07, AI-R08, AI-R16, AI-R17, AI-R20</t>
        </is>
      </c>
      <c r="H530" s="157" t="inlineStr">
        <is>
          <t>Derived via mapped controls</t>
        </is>
      </c>
      <c r="I530" s="157" t="inlineStr"/>
      <c r="J530" s="157" t="inlineStr">
        <is>
          <t>Objective: Availability (predictive); availability and integrity (generative); Test case layers: L13, L11</t>
        </is>
      </c>
      <c r="K530" s="157" t="inlineStr">
        <is>
          <t>https://nachi065.github.io/AI-Security-Wiki/23_Framework_Crosswalks/14_NIST_AI_100_2_Crosswalk.html</t>
        </is>
      </c>
    </row>
    <row r="531">
      <c r="A531" s="6" t="inlineStr">
        <is>
          <t>AI security</t>
        </is>
      </c>
      <c r="B531" s="6" t="inlineStr">
        <is>
          <t>NIST AI 100-2 (adversarial ML)</t>
        </is>
      </c>
      <c r="C531" s="6" t="inlineStr">
        <is>
          <t>Attack classes to wiki controls</t>
        </is>
      </c>
      <c r="D531" s="6" t="inlineStr">
        <is>
          <t>NISTAML.014</t>
        </is>
      </c>
      <c r="E531" s="6" t="inlineStr">
        <is>
          <t>Energy-latency</t>
        </is>
      </c>
      <c r="F531" s="6" t="inlineStr">
        <is>
          <t>AI-CTRL-036, AI-CTRL-040</t>
        </is>
      </c>
      <c r="G531" s="6" t="inlineStr">
        <is>
          <t>AI-R11, AI-R13, AI-R16</t>
        </is>
      </c>
      <c r="H531" s="6" t="inlineStr">
        <is>
          <t>Derived via mapped controls</t>
        </is>
      </c>
      <c r="I531" s="6" t="inlineStr"/>
      <c r="J531" s="6" t="inlineStr">
        <is>
          <t>Objective: Availability (predictive); Test case layers: D13</t>
        </is>
      </c>
      <c r="K531" s="6" t="inlineStr">
        <is>
          <t>https://nachi065.github.io/AI-Security-Wiki/23_Framework_Crosswalks/14_NIST_AI_100_2_Crosswalk.html</t>
        </is>
      </c>
    </row>
    <row r="532">
      <c r="A532" s="157" t="inlineStr">
        <is>
          <t>AI security</t>
        </is>
      </c>
      <c r="B532" s="157" t="inlineStr">
        <is>
          <t>NIST AI 100-2 (adversarial ML)</t>
        </is>
      </c>
      <c r="C532" s="157" t="inlineStr">
        <is>
          <t>Attack classes to wiki controls</t>
        </is>
      </c>
      <c r="D532" s="157" t="inlineStr">
        <is>
          <t>NISTAML.015</t>
        </is>
      </c>
      <c r="E532" s="157" t="inlineStr">
        <is>
          <t>Indirect prompt injection</t>
        </is>
      </c>
      <c r="F532" s="157" t="inlineStr">
        <is>
          <t>AI-CTRL-005, AI-CTRL-019, AI-CTRL-022, AI-CTRL-026</t>
        </is>
      </c>
      <c r="G532" s="157" t="inlineStr">
        <is>
          <t>AI-R05, AI-R06, AI-R07, AI-R08, AI-R17, AI-R21, AI-R24</t>
        </is>
      </c>
      <c r="H532" s="157" t="inlineStr">
        <is>
          <t>Derived via mapped controls</t>
        </is>
      </c>
      <c r="I532" s="157" t="inlineStr"/>
      <c r="J532" s="157" t="inlineStr">
        <is>
          <t>Objective: Availability, integrity and privacy (generative); Test case layers: L07, L11, D10</t>
        </is>
      </c>
      <c r="K532" s="157" t="inlineStr">
        <is>
          <t>https://nachi065.github.io/AI-Security-Wiki/23_Framework_Crosswalks/14_NIST_AI_100_2_Crosswalk.html</t>
        </is>
      </c>
    </row>
    <row r="533">
      <c r="A533" s="6" t="inlineStr">
        <is>
          <t>AI security</t>
        </is>
      </c>
      <c r="B533" s="6" t="inlineStr">
        <is>
          <t>NIST AI 100-2 (adversarial ML)</t>
        </is>
      </c>
      <c r="C533" s="6" t="inlineStr">
        <is>
          <t>Attack classes to wiki controls</t>
        </is>
      </c>
      <c r="D533" s="6" t="inlineStr">
        <is>
          <t>NISTAML.018</t>
        </is>
      </c>
      <c r="E533" s="6" t="inlineStr">
        <is>
          <t>Prompt injection</t>
        </is>
      </c>
      <c r="F533" s="6" t="inlineStr">
        <is>
          <t>AI-CTRL-002, AI-CTRL-005, AI-CTRL-034</t>
        </is>
      </c>
      <c r="G533" s="6" t="inlineStr">
        <is>
          <t>AI-R01, AI-R03, AI-R05, AI-R06, AI-R07, AI-R16, AI-R17, AI-R20, AI-R24, AI-R27</t>
        </is>
      </c>
      <c r="H533" s="6" t="inlineStr">
        <is>
          <t>Derived via mapped controls</t>
        </is>
      </c>
      <c r="I533" s="6" t="inlineStr"/>
      <c r="J533" s="6" t="inlineStr">
        <is>
          <t>Objective: Availability, integrity, privacy and misuse (generative); Test case layers: L07, L08, D08</t>
        </is>
      </c>
      <c r="K533" s="6" t="inlineStr">
        <is>
          <t>https://nachi065.github.io/AI-Security-Wiki/23_Framework_Crosswalks/14_NIST_AI_100_2_Crosswalk.html</t>
        </is>
      </c>
    </row>
    <row r="534">
      <c r="A534" s="157" t="inlineStr">
        <is>
          <t>AI security</t>
        </is>
      </c>
      <c r="B534" s="157" t="inlineStr">
        <is>
          <t>NIST AI 100-2 (adversarial ML)</t>
        </is>
      </c>
      <c r="C534" s="157" t="inlineStr">
        <is>
          <t>Attack classes to wiki controls</t>
        </is>
      </c>
      <c r="D534" s="157" t="inlineStr">
        <is>
          <t>NISTAML.021</t>
        </is>
      </c>
      <c r="E534" s="157" t="inlineStr">
        <is>
          <t>Clean-label backdoor</t>
        </is>
      </c>
      <c r="F534" s="157" t="inlineStr">
        <is>
          <t>AI-CTRL-029, AI-CTRL-031, AI-CTRL-034</t>
        </is>
      </c>
      <c r="G534" s="157" t="inlineStr">
        <is>
          <t>AI-R05, AI-R07, AI-R08, AI-R16, AI-R17, AI-R20, AI-R23</t>
        </is>
      </c>
      <c r="H534" s="157" t="inlineStr">
        <is>
          <t>Derived via mapped controls</t>
        </is>
      </c>
      <c r="I534" s="157" t="inlineStr"/>
      <c r="J534" s="157" t="inlineStr">
        <is>
          <t>Objective: Integrity (predictive); Test case layers: L13</t>
        </is>
      </c>
      <c r="K534" s="157" t="inlineStr">
        <is>
          <t>https://nachi065.github.io/AI-Security-Wiki/23_Framework_Crosswalks/14_NIST_AI_100_2_Crosswalk.html</t>
        </is>
      </c>
    </row>
    <row r="535">
      <c r="A535" s="6" t="inlineStr">
        <is>
          <t>AI security</t>
        </is>
      </c>
      <c r="B535" s="6" t="inlineStr">
        <is>
          <t>NIST AI 100-2 (adversarial ML)</t>
        </is>
      </c>
      <c r="C535" s="6" t="inlineStr">
        <is>
          <t>Attack classes to wiki controls</t>
        </is>
      </c>
      <c r="D535" s="6" t="inlineStr">
        <is>
          <t>NISTAML.022</t>
        </is>
      </c>
      <c r="E535" s="6" t="inlineStr">
        <is>
          <t>Evasion</t>
        </is>
      </c>
      <c r="F535" s="6" t="inlineStr">
        <is>
          <t>AI-CTRL-005, AI-CTRL-021, AI-CTRL-034</t>
        </is>
      </c>
      <c r="G535" s="6" t="inlineStr">
        <is>
          <t>AI-R03, AI-R05, AI-R06, AI-R07, AI-R16, AI-R17, AI-R20, AI-R24</t>
        </is>
      </c>
      <c r="H535" s="6" t="inlineStr">
        <is>
          <t>Derived via mapped controls</t>
        </is>
      </c>
      <c r="I535" s="6" t="inlineStr"/>
      <c r="J535" s="6" t="inlineStr">
        <is>
          <t>Objective: Integrity (predictive); Test case layers: L12, D11</t>
        </is>
      </c>
      <c r="K535" s="6" t="inlineStr">
        <is>
          <t>https://nachi065.github.io/AI-Security-Wiki/23_Framework_Crosswalks/14_NIST_AI_100_2_Crosswalk.html</t>
        </is>
      </c>
    </row>
    <row r="536">
      <c r="A536" s="157" t="inlineStr">
        <is>
          <t>AI security</t>
        </is>
      </c>
      <c r="B536" s="157" t="inlineStr">
        <is>
          <t>NIST AI 100-2 (adversarial ML)</t>
        </is>
      </c>
      <c r="C536" s="157" t="inlineStr">
        <is>
          <t>Attack classes to wiki controls</t>
        </is>
      </c>
      <c r="D536" s="157" t="inlineStr">
        <is>
          <t>NISTAML.023</t>
        </is>
      </c>
      <c r="E536" s="157" t="inlineStr">
        <is>
          <t>Backdoor poisoning</t>
        </is>
      </c>
      <c r="F536" s="157" t="inlineStr">
        <is>
          <t>AI-CTRL-029, AI-CTRL-031, AI-CTRL-034</t>
        </is>
      </c>
      <c r="G536" s="157" t="inlineStr">
        <is>
          <t>AI-R05, AI-R07, AI-R08, AI-R16, AI-R17, AI-R20, AI-R23</t>
        </is>
      </c>
      <c r="H536" s="157" t="inlineStr">
        <is>
          <t>Derived via mapped controls</t>
        </is>
      </c>
      <c r="I536" s="157" t="inlineStr"/>
      <c r="J536" s="157" t="inlineStr">
        <is>
          <t>Objective: Integrity (predictive); integrity and privacy (generative); Test case layers: L13, L16</t>
        </is>
      </c>
      <c r="K536" s="157" t="inlineStr">
        <is>
          <t>https://nachi065.github.io/AI-Security-Wiki/23_Framework_Crosswalks/14_NIST_AI_100_2_Crosswalk.html</t>
        </is>
      </c>
    </row>
    <row r="537">
      <c r="A537" s="6" t="inlineStr">
        <is>
          <t>AI security</t>
        </is>
      </c>
      <c r="B537" s="6" t="inlineStr">
        <is>
          <t>NIST AI 100-2 (adversarial ML)</t>
        </is>
      </c>
      <c r="C537" s="6" t="inlineStr">
        <is>
          <t>Attack classes to wiki controls</t>
        </is>
      </c>
      <c r="D537" s="6" t="inlineStr">
        <is>
          <t>NISTAML.024</t>
        </is>
      </c>
      <c r="E537" s="6" t="inlineStr">
        <is>
          <t>Targeted poisoning</t>
        </is>
      </c>
      <c r="F537" s="6" t="inlineStr">
        <is>
          <t>AI-CTRL-019, AI-CTRL-029, AI-CTRL-034</t>
        </is>
      </c>
      <c r="G537" s="6" t="inlineStr">
        <is>
          <t>AI-R05, AI-R07, AI-R08, AI-R16, AI-R17, AI-R20</t>
        </is>
      </c>
      <c r="H537" s="6" t="inlineStr">
        <is>
          <t>Derived via mapped controls</t>
        </is>
      </c>
      <c r="I537" s="6" t="inlineStr"/>
      <c r="J537" s="6" t="inlineStr">
        <is>
          <t>Objective: Integrity (predictive and generative); Test case layers: L13, L11</t>
        </is>
      </c>
      <c r="K537" s="6" t="inlineStr">
        <is>
          <t>https://nachi065.github.io/AI-Security-Wiki/23_Framework_Crosswalks/14_NIST_AI_100_2_Crosswalk.html</t>
        </is>
      </c>
    </row>
    <row r="538">
      <c r="A538" s="157" t="inlineStr">
        <is>
          <t>AI security</t>
        </is>
      </c>
      <c r="B538" s="157" t="inlineStr">
        <is>
          <t>NIST AI 100-2 (adversarial ML)</t>
        </is>
      </c>
      <c r="C538" s="157" t="inlineStr">
        <is>
          <t>Attack classes to wiki controls</t>
        </is>
      </c>
      <c r="D538" s="157" t="inlineStr">
        <is>
          <t>NISTAML.025</t>
        </is>
      </c>
      <c r="E538" s="157" t="inlineStr">
        <is>
          <t>Black-box evasion</t>
        </is>
      </c>
      <c r="F538" s="157" t="inlineStr">
        <is>
          <t>AI-CTRL-005, AI-CTRL-034, AI-CTRL-036</t>
        </is>
      </c>
      <c r="G538" s="157" t="inlineStr">
        <is>
          <t>AI-R05, AI-R06, AI-R07, AI-R11, AI-R16, AI-R17, AI-R20, AI-R24</t>
        </is>
      </c>
      <c r="H538" s="157" t="inlineStr">
        <is>
          <t>Derived via mapped controls</t>
        </is>
      </c>
      <c r="I538" s="157" t="inlineStr"/>
      <c r="J538" s="157" t="inlineStr">
        <is>
          <t>Objective: Integrity (predictive); Test case layers: L12</t>
        </is>
      </c>
      <c r="K538" s="157" t="inlineStr">
        <is>
          <t>https://nachi065.github.io/AI-Security-Wiki/23_Framework_Crosswalks/14_NIST_AI_100_2_Crosswalk.html</t>
        </is>
      </c>
    </row>
    <row r="539">
      <c r="A539" s="6" t="inlineStr">
        <is>
          <t>AI security</t>
        </is>
      </c>
      <c r="B539" s="6" t="inlineStr">
        <is>
          <t>NIST AI 100-2 (adversarial ML)</t>
        </is>
      </c>
      <c r="C539" s="6" t="inlineStr">
        <is>
          <t>Attack classes to wiki controls</t>
        </is>
      </c>
      <c r="D539" s="6" t="inlineStr">
        <is>
          <t>NISTAML.026</t>
        </is>
      </c>
      <c r="E539" s="6" t="inlineStr">
        <is>
          <t>Model poisoning</t>
        </is>
      </c>
      <c r="F539" s="6" t="inlineStr">
        <is>
          <t>AI-CTRL-028, AI-CTRL-030, AI-CTRL-031</t>
        </is>
      </c>
      <c r="G539" s="6" t="inlineStr">
        <is>
          <t>AI-R08, AI-R16, AI-R23</t>
        </is>
      </c>
      <c r="H539" s="6" t="inlineStr">
        <is>
          <t>Derived via mapped controls</t>
        </is>
      </c>
      <c r="I539" s="6" t="inlineStr"/>
      <c r="J539" s="6" t="inlineStr">
        <is>
          <t>Objective: Integrity (predictive); Test case layers: L14</t>
        </is>
      </c>
      <c r="K539" s="6" t="inlineStr">
        <is>
          <t>https://nachi065.github.io/AI-Security-Wiki/23_Framework_Crosswalks/14_NIST_AI_100_2_Crosswalk.html</t>
        </is>
      </c>
    </row>
    <row r="540">
      <c r="A540" s="157" t="inlineStr">
        <is>
          <t>AI security</t>
        </is>
      </c>
      <c r="B540" s="157" t="inlineStr">
        <is>
          <t>NIST AI 100-2 (adversarial ML)</t>
        </is>
      </c>
      <c r="C540" s="157" t="inlineStr">
        <is>
          <t>Attack classes to wiki controls</t>
        </is>
      </c>
      <c r="D540" s="157" t="inlineStr">
        <is>
          <t>NISTAML.027</t>
        </is>
      </c>
      <c r="E540" s="157" t="inlineStr">
        <is>
          <t>Misaligned outputs</t>
        </is>
      </c>
      <c r="F540" s="157" t="inlineStr">
        <is>
          <t>AI-CTRL-034, AI-CTRL-039, AI-CTRL-045</t>
        </is>
      </c>
      <c r="G540" s="157" t="inlineStr">
        <is>
          <t>AI-R05, AI-R07, AI-R12, AI-R14, AI-R16, AI-R17, AI-R18, AI-R19, AI-R20, AI-R28</t>
        </is>
      </c>
      <c r="H540" s="157" t="inlineStr">
        <is>
          <t>Derived via mapped controls</t>
        </is>
      </c>
      <c r="I540" s="157" t="inlineStr"/>
      <c r="J540" s="157" t="inlineStr">
        <is>
          <t>Objective: Integrity (generative); Test case layers: L05, D08</t>
        </is>
      </c>
      <c r="K540" s="157" t="inlineStr">
        <is>
          <t>https://nachi065.github.io/AI-Security-Wiki/23_Framework_Crosswalks/14_NIST_AI_100_2_Crosswalk.html</t>
        </is>
      </c>
    </row>
    <row r="541">
      <c r="A541" s="6" t="inlineStr">
        <is>
          <t>AI security</t>
        </is>
      </c>
      <c r="B541" s="6" t="inlineStr">
        <is>
          <t>NIST AI 100-2 (adversarial ML)</t>
        </is>
      </c>
      <c r="C541" s="6" t="inlineStr">
        <is>
          <t>Attack classes to wiki controls</t>
        </is>
      </c>
      <c r="D541" s="6" t="inlineStr">
        <is>
          <t>NISTAML.031</t>
        </is>
      </c>
      <c r="E541" s="6" t="inlineStr">
        <is>
          <t>Model extraction</t>
        </is>
      </c>
      <c r="F541" s="6" t="inlineStr">
        <is>
          <t>AI-CTRL-028, AI-CTRL-036</t>
        </is>
      </c>
      <c r="G541" s="6" t="inlineStr">
        <is>
          <t>AI-R08, AI-R11</t>
        </is>
      </c>
      <c r="H541" s="6" t="inlineStr">
        <is>
          <t>Derived via mapped controls</t>
        </is>
      </c>
      <c r="I541" s="6" t="inlineStr"/>
      <c r="J541" s="6" t="inlineStr">
        <is>
          <t>Objective: Privacy (predictive); Test case layers: L12</t>
        </is>
      </c>
      <c r="K541" s="6" t="inlineStr">
        <is>
          <t>https://nachi065.github.io/AI-Security-Wiki/23_Framework_Crosswalks/14_NIST_AI_100_2_Crosswalk.html</t>
        </is>
      </c>
    </row>
    <row r="542">
      <c r="A542" s="157" t="inlineStr">
        <is>
          <t>AI security</t>
        </is>
      </c>
      <c r="B542" s="157" t="inlineStr">
        <is>
          <t>NIST AI 100-2 (adversarial ML)</t>
        </is>
      </c>
      <c r="C542" s="157" t="inlineStr">
        <is>
          <t>Attack classes to wiki controls</t>
        </is>
      </c>
      <c r="D542" s="157" t="inlineStr">
        <is>
          <t>NISTAML.032</t>
        </is>
      </c>
      <c r="E542" s="157" t="inlineStr">
        <is>
          <t>Reconstruction</t>
        </is>
      </c>
      <c r="F542" s="157" t="inlineStr">
        <is>
          <t>AI-CTRL-017, AI-CTRL-028, AI-CTRL-034</t>
        </is>
      </c>
      <c r="G542" s="157" t="inlineStr">
        <is>
          <t>AI-R01, AI-R03, AI-R05, AI-R06, AI-R07, AI-R08, AI-R16, AI-R17, AI-R20</t>
        </is>
      </c>
      <c r="H542" s="157" t="inlineStr">
        <is>
          <t>Derived via mapped controls</t>
        </is>
      </c>
      <c r="I542" s="157" t="inlineStr"/>
      <c r="J542" s="157" t="inlineStr">
        <is>
          <t>Objective: Privacy (predictive); Test case layers: L12</t>
        </is>
      </c>
      <c r="K542" s="157" t="inlineStr">
        <is>
          <t>https://nachi065.github.io/AI-Security-Wiki/23_Framework_Crosswalks/14_NIST_AI_100_2_Crosswalk.html</t>
        </is>
      </c>
    </row>
    <row r="543">
      <c r="A543" s="6" t="inlineStr">
        <is>
          <t>AI security</t>
        </is>
      </c>
      <c r="B543" s="6" t="inlineStr">
        <is>
          <t>NIST AI 100-2 (adversarial ML)</t>
        </is>
      </c>
      <c r="C543" s="6" t="inlineStr">
        <is>
          <t>Attack classes to wiki controls</t>
        </is>
      </c>
      <c r="D543" s="6" t="inlineStr">
        <is>
          <t>NISTAML.033</t>
        </is>
      </c>
      <c r="E543" s="6" t="inlineStr">
        <is>
          <t>Membership inference</t>
        </is>
      </c>
      <c r="F543" s="6" t="inlineStr">
        <is>
          <t>AI-CTRL-017, AI-CTRL-028, AI-CTRL-034</t>
        </is>
      </c>
      <c r="G543" s="6" t="inlineStr">
        <is>
          <t>AI-R01, AI-R03, AI-R05, AI-R06, AI-R07, AI-R08, AI-R16, AI-R17, AI-R20</t>
        </is>
      </c>
      <c r="H543" s="6" t="inlineStr">
        <is>
          <t>Derived via mapped controls</t>
        </is>
      </c>
      <c r="I543" s="6" t="inlineStr"/>
      <c r="J543" s="6" t="inlineStr">
        <is>
          <t>Objective: Privacy (predictive and generative); Test case layers: L12, L13</t>
        </is>
      </c>
      <c r="K543" s="6" t="inlineStr">
        <is>
          <t>https://nachi065.github.io/AI-Security-Wiki/23_Framework_Crosswalks/14_NIST_AI_100_2_Crosswalk.html</t>
        </is>
      </c>
    </row>
    <row r="544">
      <c r="A544" s="157" t="inlineStr">
        <is>
          <t>AI security</t>
        </is>
      </c>
      <c r="B544" s="157" t="inlineStr">
        <is>
          <t>NIST AI 100-2 (adversarial ML)</t>
        </is>
      </c>
      <c r="C544" s="157" t="inlineStr">
        <is>
          <t>Attack classes to wiki controls</t>
        </is>
      </c>
      <c r="D544" s="157" t="inlineStr">
        <is>
          <t>NISTAML.034</t>
        </is>
      </c>
      <c r="E544" s="157" t="inlineStr">
        <is>
          <t>Property inference</t>
        </is>
      </c>
      <c r="F544" s="157" t="inlineStr">
        <is>
          <t>AI-CTRL-017, AI-CTRL-028</t>
        </is>
      </c>
      <c r="G544" s="157" t="inlineStr">
        <is>
          <t>AI-R01, AI-R03, AI-R06, AI-R08, AI-R17</t>
        </is>
      </c>
      <c r="H544" s="157" t="inlineStr">
        <is>
          <t>Derived via mapped controls</t>
        </is>
      </c>
      <c r="I544" s="157" t="inlineStr"/>
      <c r="J544" s="157" t="inlineStr">
        <is>
          <t>Objective: Privacy (predictive); Test case layers: L12</t>
        </is>
      </c>
      <c r="K544" s="157" t="inlineStr">
        <is>
          <t>https://nachi065.github.io/AI-Security-Wiki/23_Framework_Crosswalks/14_NIST_AI_100_2_Crosswalk.html</t>
        </is>
      </c>
    </row>
    <row r="545">
      <c r="A545" s="6" t="inlineStr">
        <is>
          <t>AI security</t>
        </is>
      </c>
      <c r="B545" s="6" t="inlineStr">
        <is>
          <t>NIST AI 100-2 (adversarial ML)</t>
        </is>
      </c>
      <c r="C545" s="6" t="inlineStr">
        <is>
          <t>Attack classes to wiki controls</t>
        </is>
      </c>
      <c r="D545" s="6" t="inlineStr">
        <is>
          <t>NISTAML.035</t>
        </is>
      </c>
      <c r="E545" s="6" t="inlineStr">
        <is>
          <t>Prompt extraction</t>
        </is>
      </c>
      <c r="F545" s="6" t="inlineStr">
        <is>
          <t>AI-CTRL-005, AI-CTRL-020</t>
        </is>
      </c>
      <c r="G545" s="6" t="inlineStr">
        <is>
          <t>AI-R05, AI-R06, AI-R24, AI-R26</t>
        </is>
      </c>
      <c r="H545" s="6" t="inlineStr">
        <is>
          <t>Derived via mapped controls</t>
        </is>
      </c>
      <c r="I545" s="6" t="inlineStr"/>
      <c r="J545" s="6" t="inlineStr">
        <is>
          <t>Objective: Privacy (generative); Test case layers: L07</t>
        </is>
      </c>
      <c r="K545" s="6" t="inlineStr">
        <is>
          <t>https://nachi065.github.io/AI-Security-Wiki/23_Framework_Crosswalks/14_NIST_AI_100_2_Crosswalk.html</t>
        </is>
      </c>
    </row>
    <row r="546">
      <c r="A546" s="157" t="inlineStr">
        <is>
          <t>AI security</t>
        </is>
      </c>
      <c r="B546" s="157" t="inlineStr">
        <is>
          <t>NIST AI 100-2 (adversarial ML)</t>
        </is>
      </c>
      <c r="C546" s="157" t="inlineStr">
        <is>
          <t>Attack classes to wiki controls</t>
        </is>
      </c>
      <c r="D546" s="157" t="inlineStr">
        <is>
          <t>NISTAML.036</t>
        </is>
      </c>
      <c r="E546" s="157" t="inlineStr">
        <is>
          <t>Leaking information from user interactions</t>
        </is>
      </c>
      <c r="F546" s="157" t="inlineStr">
        <is>
          <t>AI-CTRL-017, AI-CTRL-018, AI-CTRL-020</t>
        </is>
      </c>
      <c r="G546" s="157" t="inlineStr">
        <is>
          <t>AI-R01, AI-R03, AI-R05, AI-R06, AI-R17, AI-R24, AI-R26</t>
        </is>
      </c>
      <c r="H546" s="157" t="inlineStr">
        <is>
          <t>Derived via mapped controls</t>
        </is>
      </c>
      <c r="I546" s="157" t="inlineStr"/>
      <c r="J546" s="157" t="inlineStr">
        <is>
          <t>Objective: Privacy (generative); Test case layers: L10, L08</t>
        </is>
      </c>
      <c r="K546" s="157" t="inlineStr">
        <is>
          <t>https://nachi065.github.io/AI-Security-Wiki/23_Framework_Crosswalks/14_NIST_AI_100_2_Crosswalk.html</t>
        </is>
      </c>
    </row>
    <row r="547">
      <c r="A547" s="6" t="inlineStr">
        <is>
          <t>AI security</t>
        </is>
      </c>
      <c r="B547" s="6" t="inlineStr">
        <is>
          <t>NIST AI 100-2 (adversarial ML)</t>
        </is>
      </c>
      <c r="C547" s="6" t="inlineStr">
        <is>
          <t>Attack classes to wiki controls</t>
        </is>
      </c>
      <c r="D547" s="6" t="inlineStr">
        <is>
          <t>NISTAML.037</t>
        </is>
      </c>
      <c r="E547" s="6" t="inlineStr">
        <is>
          <t>Training data attacks</t>
        </is>
      </c>
      <c r="F547" s="6" t="inlineStr">
        <is>
          <t>AI-CTRL-017, AI-CTRL-028, AI-CTRL-029</t>
        </is>
      </c>
      <c r="G547" s="6" t="inlineStr">
        <is>
          <t>AI-R01, AI-R03, AI-R06, AI-R08, AI-R17</t>
        </is>
      </c>
      <c r="H547" s="6" t="inlineStr">
        <is>
          <t>Derived via mapped controls</t>
        </is>
      </c>
      <c r="I547" s="6" t="inlineStr"/>
      <c r="J547" s="6" t="inlineStr">
        <is>
          <t>Objective: Privacy (generative); Test case layers: L13</t>
        </is>
      </c>
      <c r="K547" s="6" t="inlineStr">
        <is>
          <t>https://nachi065.github.io/AI-Security-Wiki/23_Framework_Crosswalks/14_NIST_AI_100_2_Crosswalk.html</t>
        </is>
      </c>
    </row>
    <row r="548">
      <c r="A548" s="157" t="inlineStr">
        <is>
          <t>AI security</t>
        </is>
      </c>
      <c r="B548" s="157" t="inlineStr">
        <is>
          <t>NIST AI 100-2 (adversarial ML)</t>
        </is>
      </c>
      <c r="C548" s="157" t="inlineStr">
        <is>
          <t>Attack classes to wiki controls</t>
        </is>
      </c>
      <c r="D548" s="157" t="inlineStr">
        <is>
          <t>NISTAML.038</t>
        </is>
      </c>
      <c r="E548" s="157" t="inlineStr">
        <is>
          <t>Data extraction</t>
        </is>
      </c>
      <c r="F548" s="157" t="inlineStr">
        <is>
          <t>AI-CTRL-017, AI-CTRL-020, AI-CTRL-028</t>
        </is>
      </c>
      <c r="G548" s="157" t="inlineStr">
        <is>
          <t>AI-R01, AI-R03, AI-R05, AI-R06, AI-R08, AI-R17, AI-R24, AI-R26</t>
        </is>
      </c>
      <c r="H548" s="157" t="inlineStr">
        <is>
          <t>Derived via mapped controls</t>
        </is>
      </c>
      <c r="I548" s="157" t="inlineStr"/>
      <c r="J548" s="157" t="inlineStr">
        <is>
          <t>Objective: Privacy (generative); Test case layers: L10, L12</t>
        </is>
      </c>
      <c r="K548" s="157" t="inlineStr">
        <is>
          <t>https://nachi065.github.io/AI-Security-Wiki/23_Framework_Crosswalks/14_NIST_AI_100_2_Crosswalk.html</t>
        </is>
      </c>
    </row>
    <row r="549">
      <c r="A549" s="6" t="inlineStr">
        <is>
          <t>AI security</t>
        </is>
      </c>
      <c r="B549" s="6" t="inlineStr">
        <is>
          <t>NIST AI 100-2 (adversarial ML)</t>
        </is>
      </c>
      <c r="C549" s="6" t="inlineStr">
        <is>
          <t>Attack classes to wiki controls</t>
        </is>
      </c>
      <c r="D549" s="6" t="inlineStr">
        <is>
          <t>NISTAML.039</t>
        </is>
      </c>
      <c r="E549" s="6" t="inlineStr">
        <is>
          <t>Compromising connected resources</t>
        </is>
      </c>
      <c r="F549" s="6" t="inlineStr">
        <is>
          <t>AI-CTRL-016, AI-CTRL-022, AI-CTRL-024, AI-CTRL-027</t>
        </is>
      </c>
      <c r="G549" s="6" t="inlineStr">
        <is>
          <t>AI-R06, AI-R07, AI-R08, AI-R21, AI-R22, AI-R23, AI-R24, AI-R25, AI-R55</t>
        </is>
      </c>
      <c r="H549" s="6" t="inlineStr">
        <is>
          <t>Derived via mapped controls</t>
        </is>
      </c>
      <c r="I549" s="6" t="inlineStr"/>
      <c r="J549" s="6" t="inlineStr">
        <is>
          <t>Objective: Privacy (generative); Test case layers: L06, D09</t>
        </is>
      </c>
      <c r="K549" s="6" t="inlineStr">
        <is>
          <t>https://nachi065.github.io/AI-Security-Wiki/23_Framework_Crosswalks/14_NIST_AI_100_2_Crosswalk.html</t>
        </is>
      </c>
    </row>
    <row r="550">
      <c r="A550" s="157" t="inlineStr">
        <is>
          <t>AI security</t>
        </is>
      </c>
      <c r="B550" s="157" t="inlineStr">
        <is>
          <t>NIST AI 100-2 (adversarial ML)</t>
        </is>
      </c>
      <c r="C550" s="157" t="inlineStr">
        <is>
          <t>Attack classes to wiki controls</t>
        </is>
      </c>
      <c r="D550" s="157" t="inlineStr">
        <is>
          <t>NISTAML.051</t>
        </is>
      </c>
      <c r="E550" s="157" t="inlineStr">
        <is>
          <t>Model poisoning (supply chain)</t>
        </is>
      </c>
      <c r="F550" s="157" t="inlineStr">
        <is>
          <t>AI-CTRL-028, AI-CTRL-030, AI-CTRL-031</t>
        </is>
      </c>
      <c r="G550" s="157" t="inlineStr">
        <is>
          <t>AI-R08, AI-R16, AI-R23</t>
        </is>
      </c>
      <c r="H550" s="157" t="inlineStr">
        <is>
          <t>Derived via mapped controls</t>
        </is>
      </c>
      <c r="I550" s="157" t="inlineStr"/>
      <c r="J550" s="157" t="inlineStr">
        <is>
          <t>Objective: Supply chain (predictive and generative); Test case layers: L16</t>
        </is>
      </c>
      <c r="K550" s="157" t="inlineStr">
        <is>
          <t>https://nachi065.github.io/AI-Security-Wiki/23_Framework_Crosswalks/14_NIST_AI_100_2_Crosswalk.html</t>
        </is>
      </c>
    </row>
    <row r="551">
      <c r="A551" s="6" t="inlineStr">
        <is>
          <t>AI security</t>
        </is>
      </c>
      <c r="B551" s="6" t="inlineStr">
        <is>
          <t>NIST AI 100-2 (adversarial ML)</t>
        </is>
      </c>
      <c r="C551" s="6" t="inlineStr">
        <is>
          <t>Report sections without an identifier</t>
        </is>
      </c>
      <c r="D551" s="6" t="inlineStr">
        <is>
          <t>3.5 Security of agents</t>
        </is>
      </c>
      <c r="E551" s="6" t="inlineStr"/>
      <c r="F551" s="6" t="inlineStr">
        <is>
          <t>AI-CTRL-006, AI-CTRL-022, AI-CTRL-023, AI-CTRL-024, AI-CTRL-025, AI-CTRL-026, AI-CTRL-027</t>
        </is>
      </c>
      <c r="G551" s="6" t="inlineStr">
        <is>
          <t>AI-R05, AI-R07, AI-R08, AI-R11, AI-R19, AI-R21, AI-R22, AI-R23, AI-R24, AI-R25, AI-R55</t>
        </is>
      </c>
      <c r="H551" s="6" t="inlineStr">
        <is>
          <t>Derived via mapped controls</t>
        </is>
      </c>
      <c r="I551" s="6" t="inlineStr"/>
      <c r="J551" s="6" t="inlineStr"/>
      <c r="K551" s="6" t="inlineStr">
        <is>
          <t>https://nachi065.github.io/AI-Security-Wiki/23_Framework_Crosswalks/14_NIST_AI_100_2_Crosswalk.html</t>
        </is>
      </c>
    </row>
    <row r="552">
      <c r="A552" s="157" t="inlineStr">
        <is>
          <t>AI security</t>
        </is>
      </c>
      <c r="B552" s="157" t="inlineStr">
        <is>
          <t>NIST AI 100-2 (adversarial ML)</t>
        </is>
      </c>
      <c r="C552" s="157" t="inlineStr">
        <is>
          <t>Report sections without an identifier</t>
        </is>
      </c>
      <c r="D552" s="157" t="inlineStr">
        <is>
          <t>3.6 Benchmarks for AML vulnerabilities</t>
        </is>
      </c>
      <c r="E552" s="157" t="inlineStr"/>
      <c r="F552" s="157" t="inlineStr">
        <is>
          <t>AI-CTRL-034</t>
        </is>
      </c>
      <c r="G552" s="157" t="inlineStr">
        <is>
          <t>AI-R05, AI-R07, AI-R16, AI-R17, AI-R20</t>
        </is>
      </c>
      <c r="H552" s="157" t="inlineStr">
        <is>
          <t>Derived via mapped controls</t>
        </is>
      </c>
      <c r="I552" s="157" t="inlineStr"/>
      <c r="J552" s="157" t="inlineStr"/>
      <c r="K552" s="157" t="inlineStr">
        <is>
          <t>https://nachi065.github.io/AI-Security-Wiki/23_Framework_Crosswalks/14_NIST_AI_100_2_Crosswalk.html</t>
        </is>
      </c>
    </row>
    <row r="553">
      <c r="A553" s="6" t="inlineStr">
        <is>
          <t>AI security</t>
        </is>
      </c>
      <c r="B553" s="6" t="inlineStr">
        <is>
          <t>NIST AI 100-2 (adversarial ML)</t>
        </is>
      </c>
      <c r="C553" s="6" t="inlineStr">
        <is>
          <t>Report sections without an identifier</t>
        </is>
      </c>
      <c r="D553" s="6" t="inlineStr">
        <is>
          <t>4.1 Key challenges in AML</t>
        </is>
      </c>
      <c r="E553" s="6" t="inlineStr">
        <is>
          <t>Limitations and Research Gaps</t>
        </is>
      </c>
      <c r="F553" s="6" t="inlineStr">
        <is>
          <t>None</t>
        </is>
      </c>
      <c r="G553" s="6" t="inlineStr">
        <is>
          <t>None</t>
        </is>
      </c>
      <c r="H553" s="6" t="inlineStr">
        <is>
          <t>Derived via mapped controls</t>
        </is>
      </c>
      <c r="I553" s="6" t="inlineStr"/>
      <c r="J553" s="6" t="inlineStr"/>
      <c r="K553" s="6" t="inlineStr">
        <is>
          <t>https://nachi065.github.io/AI-Security-Wiki/23_Framework_Crosswalks/14_NIST_AI_100_2_Crosswalk.html</t>
        </is>
      </c>
    </row>
    <row r="554">
      <c r="A554" s="157" t="inlineStr">
        <is>
          <t>ISO/IEC standards</t>
        </is>
      </c>
      <c r="B554" s="157" t="inlineStr">
        <is>
          <t>ISO/IEC 38507</t>
        </is>
      </c>
      <c r="C554" s="157" t="inlineStr">
        <is>
          <t>ISO/IEC 38507: governance by the board</t>
        </is>
      </c>
      <c r="D554" s="157" t="inlineStr">
        <is>
          <t>4.2, 4.3</t>
        </is>
      </c>
      <c r="E554" s="157" t="inlineStr">
        <is>
          <t>Maintaining governance and accountability when introducing AI</t>
        </is>
      </c>
      <c r="F554" s="157" t="inlineStr">
        <is>
          <t>None</t>
        </is>
      </c>
      <c r="G554" s="157" t="inlineStr">
        <is>
          <t>None</t>
        </is>
      </c>
      <c r="H554" s="157" t="inlineStr">
        <is>
          <t>Derived via mapped controls</t>
        </is>
      </c>
      <c r="I554" s="157" t="inlineStr"/>
      <c r="J554" s="157" t="inlineStr">
        <is>
          <t>Where the wiki covers it: Governing body and accountable executive rows in the AI Governance Operating Model</t>
        </is>
      </c>
      <c r="K554" s="157" t="inlineStr">
        <is>
          <t>https://nachi065.github.io/AI-Security-Wiki/23_Framework_Crosswalks/15_ISO_IEC_AI_Standards_Crosswalk.html</t>
        </is>
      </c>
    </row>
    <row r="555">
      <c r="A555" s="6" t="inlineStr">
        <is>
          <t>ISO/IEC standards</t>
        </is>
      </c>
      <c r="B555" s="6" t="inlineStr">
        <is>
          <t>ISO/IEC 38507</t>
        </is>
      </c>
      <c r="C555" s="6" t="inlineStr">
        <is>
          <t>ISO/IEC 38507: governance by the board</t>
        </is>
      </c>
      <c r="D555" s="6" t="inlineStr">
        <is>
          <t>Governance oversight of AI</t>
        </is>
      </c>
      <c r="E555" s="6" t="inlineStr">
        <is>
          <t>Governance oversight of AI</t>
        </is>
      </c>
      <c r="F555" s="6" t="inlineStr">
        <is>
          <t>AI-CTRL-011</t>
        </is>
      </c>
      <c r="G555" s="6" t="inlineStr">
        <is>
          <t>AI-R02, AI-R18</t>
        </is>
      </c>
      <c r="H555" s="6" t="inlineStr">
        <is>
          <t>Derived via mapped controls</t>
        </is>
      </c>
      <c r="I555" s="6" t="inlineStr"/>
      <c r="J555" s="6" t="inlineStr"/>
      <c r="K555" s="6" t="inlineStr">
        <is>
          <t>https://nachi065.github.io/AI-Security-Wiki/23_Framework_Crosswalks/15_ISO_IEC_AI_Standards_Crosswalk.html</t>
        </is>
      </c>
    </row>
    <row r="556">
      <c r="A556" s="157" t="inlineStr">
        <is>
          <t>ISO/IEC standards</t>
        </is>
      </c>
      <c r="B556" s="157" t="inlineStr">
        <is>
          <t>ISO/IEC 38507</t>
        </is>
      </c>
      <c r="C556" s="157" t="inlineStr">
        <is>
          <t>ISO/IEC 38507: governance by the board</t>
        </is>
      </c>
      <c r="D556" s="157" t="inlineStr">
        <is>
          <t>Governance of decision-making</t>
        </is>
      </c>
      <c r="E556" s="157" t="inlineStr">
        <is>
          <t>Governance of decision-making</t>
        </is>
      </c>
      <c r="F556" s="157" t="inlineStr">
        <is>
          <t>AI-CTRL-045</t>
        </is>
      </c>
      <c r="G556" s="157" t="inlineStr">
        <is>
          <t>AI-R07, AI-R12, AI-R14, AI-R18, AI-R19, AI-R28</t>
        </is>
      </c>
      <c r="H556" s="157" t="inlineStr">
        <is>
          <t>Derived via mapped controls</t>
        </is>
      </c>
      <c r="I556" s="157" t="inlineStr"/>
      <c r="J556" s="157" t="inlineStr"/>
      <c r="K556" s="157" t="inlineStr">
        <is>
          <t>https://nachi065.github.io/AI-Security-Wiki/23_Framework_Crosswalks/15_ISO_IEC_AI_Standards_Crosswalk.html</t>
        </is>
      </c>
    </row>
    <row r="557">
      <c r="A557" s="6" t="inlineStr">
        <is>
          <t>ISO/IEC standards</t>
        </is>
      </c>
      <c r="B557" s="6" t="inlineStr">
        <is>
          <t>ISO/IEC 38507</t>
        </is>
      </c>
      <c r="C557" s="6" t="inlineStr">
        <is>
          <t>ISO/IEC 38507: governance by the board</t>
        </is>
      </c>
      <c r="D557" s="6" t="inlineStr">
        <is>
          <t>Governance of data use</t>
        </is>
      </c>
      <c r="E557" s="6" t="inlineStr">
        <is>
          <t>Governance of data use</t>
        </is>
      </c>
      <c r="F557" s="6" t="inlineStr">
        <is>
          <t>AI-CTRL-013, AI-CTRL-017, AI-CTRL-029</t>
        </is>
      </c>
      <c r="G557" s="6" t="inlineStr">
        <is>
          <t>AI-R01, AI-R03, AI-R06, AI-R08, AI-R10, AI-R17, AI-R27, AI-R28</t>
        </is>
      </c>
      <c r="H557" s="6" t="inlineStr">
        <is>
          <t>Derived via mapped controls</t>
        </is>
      </c>
      <c r="I557" s="6" t="inlineStr"/>
      <c r="J557" s="6" t="inlineStr"/>
      <c r="K557" s="6" t="inlineStr">
        <is>
          <t>https://nachi065.github.io/AI-Security-Wiki/23_Framework_Crosswalks/15_ISO_IEC_AI_Standards_Crosswalk.html</t>
        </is>
      </c>
    </row>
    <row r="558">
      <c r="A558" s="157" t="inlineStr">
        <is>
          <t>ISO/IEC standards</t>
        </is>
      </c>
      <c r="B558" s="157" t="inlineStr">
        <is>
          <t>ISO/IEC 38507</t>
        </is>
      </c>
      <c r="C558" s="157" t="inlineStr">
        <is>
          <t>ISO/IEC 38507: governance by the board</t>
        </is>
      </c>
      <c r="D558" s="157" t="inlineStr">
        <is>
          <t>Culture and values</t>
        </is>
      </c>
      <c r="E558" s="157" t="inlineStr">
        <is>
          <t>Culture and values</t>
        </is>
      </c>
      <c r="F558" s="157" t="inlineStr">
        <is>
          <t>AI-CTRL-044</t>
        </is>
      </c>
      <c r="G558" s="157" t="inlineStr">
        <is>
          <t>AI-R02, AI-R19</t>
        </is>
      </c>
      <c r="H558" s="157" t="inlineStr">
        <is>
          <t>Derived via mapped controls</t>
        </is>
      </c>
      <c r="I558" s="157" t="inlineStr"/>
      <c r="J558" s="157" t="inlineStr"/>
      <c r="K558" s="157" t="inlineStr">
        <is>
          <t>https://nachi065.github.io/AI-Security-Wiki/23_Framework_Crosswalks/15_ISO_IEC_AI_Standards_Crosswalk.html</t>
        </is>
      </c>
    </row>
    <row r="559">
      <c r="A559" s="6" t="inlineStr">
        <is>
          <t>ISO/IEC standards</t>
        </is>
      </c>
      <c r="B559" s="6" t="inlineStr">
        <is>
          <t>ISO/IEC 38507</t>
        </is>
      </c>
      <c r="C559" s="6" t="inlineStr">
        <is>
          <t>ISO/IEC 38507: governance by the board</t>
        </is>
      </c>
      <c r="D559" s="6" t="inlineStr">
        <is>
          <t>Compliance</t>
        </is>
      </c>
      <c r="E559" s="6" t="inlineStr">
        <is>
          <t>Compliance</t>
        </is>
      </c>
      <c r="F559" s="6" t="inlineStr">
        <is>
          <t>AI-CTRL-013, AI-CTRL-043</t>
        </is>
      </c>
      <c r="G559" s="6" t="inlineStr">
        <is>
          <t>AI-R03, AI-R09, AI-R10, AI-R27, AI-R28</t>
        </is>
      </c>
      <c r="H559" s="6" t="inlineStr">
        <is>
          <t>Derived via mapped controls</t>
        </is>
      </c>
      <c r="I559" s="6" t="inlineStr"/>
      <c r="J559" s="6" t="inlineStr"/>
      <c r="K559" s="6" t="inlineStr">
        <is>
          <t>https://nachi065.github.io/AI-Security-Wiki/23_Framework_Crosswalks/15_ISO_IEC_AI_Standards_Crosswalk.html</t>
        </is>
      </c>
    </row>
    <row r="560">
      <c r="A560" s="157" t="inlineStr">
        <is>
          <t>ISO/IEC standards</t>
        </is>
      </c>
      <c r="B560" s="157" t="inlineStr">
        <is>
          <t>ISO/IEC 38507</t>
        </is>
      </c>
      <c r="C560" s="157" t="inlineStr">
        <is>
          <t>ISO/IEC 38507: governance by the board</t>
        </is>
      </c>
      <c r="D560" s="157" t="inlineStr">
        <is>
          <t>Risk (appetite, management, objectives, sourc</t>
        </is>
      </c>
      <c r="E560" s="157" t="inlineStr">
        <is>
          <t>Risk (appetite, management, objectives, sources, controls)</t>
        </is>
      </c>
      <c r="F560" s="157" t="inlineStr">
        <is>
          <t>AI-CTRL-037</t>
        </is>
      </c>
      <c r="G560" s="157" t="inlineStr">
        <is>
          <t>AI-R02, AI-R18, AI-R28, AI-R55</t>
        </is>
      </c>
      <c r="H560" s="157" t="inlineStr">
        <is>
          <t>Derived via mapped controls</t>
        </is>
      </c>
      <c r="I560" s="157" t="inlineStr"/>
      <c r="J560" s="157" t="inlineStr"/>
      <c r="K560" s="157" t="inlineStr">
        <is>
          <t>https://nachi065.github.io/AI-Security-Wiki/23_Framework_Crosswalks/15_ISO_IEC_AI_Standards_Crosswalk.html</t>
        </is>
      </c>
    </row>
    <row r="561">
      <c r="A561" s="6" t="inlineStr">
        <is>
          <t>ISO/IEC standards</t>
        </is>
      </c>
      <c r="B561" s="6" t="inlineStr">
        <is>
          <t>ISO/IEC 42005</t>
        </is>
      </c>
      <c r="C561" s="6" t="inlineStr">
        <is>
          <t>ISO/IEC 42005: AI system impact assessment</t>
        </is>
      </c>
      <c r="D561" s="6" t="inlineStr">
        <is>
          <t>5.4, 5.12</t>
        </is>
      </c>
      <c r="E561" s="6" t="inlineStr">
        <is>
          <t>Timing; monitoring and review</t>
        </is>
      </c>
      <c r="F561" s="6" t="inlineStr">
        <is>
          <t>AI-CTRL-042</t>
        </is>
      </c>
      <c r="G561" s="6" t="inlineStr">
        <is>
          <t>AI-R10, AI-R12, AI-R28</t>
        </is>
      </c>
      <c r="H561" s="6" t="inlineStr">
        <is>
          <t>Derived via mapped controls</t>
        </is>
      </c>
      <c r="I561" s="6" t="inlineStr"/>
      <c r="J561" s="6" t="inlineStr"/>
      <c r="K561" s="6" t="inlineStr">
        <is>
          <t>https://nachi065.github.io/AI-Security-Wiki/23_Framework_Crosswalks/15_ISO_IEC_AI_Standards_Crosswalk.html</t>
        </is>
      </c>
    </row>
    <row r="562">
      <c r="A562" s="157" t="inlineStr">
        <is>
          <t>ISO/IEC standards</t>
        </is>
      </c>
      <c r="B562" s="157" t="inlineStr">
        <is>
          <t>ISO/IEC 42005</t>
        </is>
      </c>
      <c r="C562" s="157" t="inlineStr">
        <is>
          <t>ISO/IEC 42005: AI system impact assessment</t>
        </is>
      </c>
      <c r="D562" s="157" t="inlineStr">
        <is>
          <t>Thresholds for sensitive uses, restricted use</t>
        </is>
      </c>
      <c r="E562" s="157" t="inlineStr">
        <is>
          <t>Thresholds for sensitive uses, restricted uses and impact scales</t>
        </is>
      </c>
      <c r="F562" s="157" t="inlineStr">
        <is>
          <t>None</t>
        </is>
      </c>
      <c r="G562" s="157" t="inlineStr">
        <is>
          <t>None</t>
        </is>
      </c>
      <c r="H562" s="157" t="inlineStr">
        <is>
          <t>Derived via mapped controls</t>
        </is>
      </c>
      <c r="I562" s="157" t="inlineStr"/>
      <c r="J562" s="157" t="inlineStr">
        <is>
          <t>Where the wiki covers it: "When to run a full impact assessment" in the AI Use-Case Risk Triage</t>
        </is>
      </c>
      <c r="K562" s="157" t="inlineStr">
        <is>
          <t>https://nachi065.github.io/AI-Security-Wiki/23_Framework_Crosswalks/15_ISO_IEC_AI_Standards_Crosswalk.html</t>
        </is>
      </c>
    </row>
    <row r="563">
      <c r="A563" s="6" t="inlineStr">
        <is>
          <t>ISO/IEC standards</t>
        </is>
      </c>
      <c r="B563" s="6" t="inlineStr">
        <is>
          <t>ISO/IEC 42005</t>
        </is>
      </c>
      <c r="C563" s="6" t="inlineStr">
        <is>
          <t>ISO/IEC 42005: AI system impact assessment</t>
        </is>
      </c>
      <c r="D563" s="6" t="inlineStr">
        <is>
          <t>Approval process</t>
        </is>
      </c>
      <c r="E563" s="6" t="inlineStr">
        <is>
          <t>Approval process</t>
        </is>
      </c>
      <c r="F563" s="6" t="inlineStr">
        <is>
          <t>AI-CTRL-042</t>
        </is>
      </c>
      <c r="G563" s="6" t="inlineStr">
        <is>
          <t>AI-R10, AI-R12, AI-R28</t>
        </is>
      </c>
      <c r="H563" s="6" t="inlineStr">
        <is>
          <t>Derived via mapped controls</t>
        </is>
      </c>
      <c r="I563" s="6" t="inlineStr"/>
      <c r="J563" s="6" t="inlineStr"/>
      <c r="K563" s="6" t="inlineStr">
        <is>
          <t>https://nachi065.github.io/AI-Security-Wiki/23_Framework_Crosswalks/15_ISO_IEC_AI_Standards_Crosswalk.html</t>
        </is>
      </c>
    </row>
    <row r="564">
      <c r="A564" s="157" t="inlineStr">
        <is>
          <t>ISO/IEC standards</t>
        </is>
      </c>
      <c r="B564" s="157" t="inlineStr">
        <is>
          <t>ISO/IEC 42005</t>
        </is>
      </c>
      <c r="C564" s="157" t="inlineStr">
        <is>
          <t>ISO/IEC 42005: AI system impact assessment</t>
        </is>
      </c>
      <c r="D564" s="157" t="inlineStr">
        <is>
          <t>AI system information, including intended and</t>
        </is>
      </c>
      <c r="E564" s="157" t="inlineStr">
        <is>
          <t>AI system information, including intended and unintended uses</t>
        </is>
      </c>
      <c r="F564" s="157" t="inlineStr">
        <is>
          <t>AI-CTRL-011, AI-CTRL-042</t>
        </is>
      </c>
      <c r="G564" s="157" t="inlineStr">
        <is>
          <t>AI-R02, AI-R10, AI-R12, AI-R18, AI-R28</t>
        </is>
      </c>
      <c r="H564" s="157" t="inlineStr">
        <is>
          <t>Derived via mapped controls</t>
        </is>
      </c>
      <c r="I564" s="157" t="inlineStr"/>
      <c r="J564" s="157" t="inlineStr"/>
      <c r="K564" s="157" t="inlineStr">
        <is>
          <t>https://nachi065.github.io/AI-Security-Wiki/23_Framework_Crosswalks/15_ISO_IEC_AI_Standards_Crosswalk.html</t>
        </is>
      </c>
    </row>
    <row r="565">
      <c r="A565" s="6" t="inlineStr">
        <is>
          <t>ISO/IEC standards</t>
        </is>
      </c>
      <c r="B565" s="6" t="inlineStr">
        <is>
          <t>ISO/IEC 42005</t>
        </is>
      </c>
      <c r="C565" s="6" t="inlineStr">
        <is>
          <t>ISO/IEC 42005: AI system impact assessment</t>
        </is>
      </c>
      <c r="D565" s="6" t="inlineStr">
        <is>
          <t>Data information and quality</t>
        </is>
      </c>
      <c r="E565" s="6" t="inlineStr">
        <is>
          <t>Data information and quality</t>
        </is>
      </c>
      <c r="F565" s="6" t="inlineStr">
        <is>
          <t>AI-CTRL-029, AI-CTRL-042</t>
        </is>
      </c>
      <c r="G565" s="6" t="inlineStr">
        <is>
          <t>AI-R08, AI-R10, AI-R12, AI-R28</t>
        </is>
      </c>
      <c r="H565" s="6" t="inlineStr">
        <is>
          <t>Derived via mapped controls</t>
        </is>
      </c>
      <c r="I565" s="6" t="inlineStr"/>
      <c r="J565" s="6" t="inlineStr"/>
      <c r="K565" s="6" t="inlineStr">
        <is>
          <t>https://nachi065.github.io/AI-Security-Wiki/23_Framework_Crosswalks/15_ISO_IEC_AI_Standards_Crosswalk.html</t>
        </is>
      </c>
    </row>
    <row r="566">
      <c r="A566" s="157" t="inlineStr">
        <is>
          <t>ISO/IEC standards</t>
        </is>
      </c>
      <c r="B566" s="157" t="inlineStr">
        <is>
          <t>ISO/IEC 42005</t>
        </is>
      </c>
      <c r="C566" s="157" t="inlineStr">
        <is>
          <t>ISO/IEC 42005: AI system impact assessment</t>
        </is>
      </c>
      <c r="D566" s="157" t="inlineStr">
        <is>
          <t>Deployment environment (geography, languages,</t>
        </is>
      </c>
      <c r="E566" s="157" t="inlineStr">
        <is>
          <t>Deployment environment (geography, languages, constraints)</t>
        </is>
      </c>
      <c r="F566" s="157" t="inlineStr">
        <is>
          <t>AI-CTRL-007, AI-CTRL-042</t>
        </is>
      </c>
      <c r="G566" s="157" t="inlineStr">
        <is>
          <t>AI-R10, AI-R12, AI-R28</t>
        </is>
      </c>
      <c r="H566" s="157" t="inlineStr">
        <is>
          <t>Derived via mapped controls</t>
        </is>
      </c>
      <c r="I566" s="157" t="inlineStr"/>
      <c r="J566" s="157" t="inlineStr"/>
      <c r="K566" s="157" t="inlineStr">
        <is>
          <t>https://nachi065.github.io/AI-Security-Wiki/23_Framework_Crosswalks/15_ISO_IEC_AI_Standards_Crosswalk.html</t>
        </is>
      </c>
    </row>
    <row r="567">
      <c r="A567" s="6" t="inlineStr">
        <is>
          <t>ISO/IEC standards</t>
        </is>
      </c>
      <c r="B567" s="6" t="inlineStr">
        <is>
          <t>ISO/IEC 42005</t>
        </is>
      </c>
      <c r="C567" s="6" t="inlineStr">
        <is>
          <t>ISO/IEC 42005: AI system impact assessment</t>
        </is>
      </c>
      <c r="D567" s="6" t="inlineStr">
        <is>
          <t>Relevant interested parties</t>
        </is>
      </c>
      <c r="E567" s="6" t="inlineStr">
        <is>
          <t>Relevant interested parties</t>
        </is>
      </c>
      <c r="F567" s="6" t="inlineStr">
        <is>
          <t>AI-CTRL-041, AI-CTRL-042</t>
        </is>
      </c>
      <c r="G567" s="6" t="inlineStr">
        <is>
          <t>AI-R10, AI-R12, AI-R14, AI-R15, AI-R28</t>
        </is>
      </c>
      <c r="H567" s="6" t="inlineStr">
        <is>
          <t>Derived via mapped controls</t>
        </is>
      </c>
      <c r="I567" s="6" t="inlineStr"/>
      <c r="J567" s="6" t="inlineStr"/>
      <c r="K567" s="6" t="inlineStr">
        <is>
          <t>https://nachi065.github.io/AI-Security-Wiki/23_Framework_Crosswalks/15_ISO_IEC_AI_Standards_Crosswalk.html</t>
        </is>
      </c>
    </row>
    <row r="568">
      <c r="A568" s="157" t="inlineStr">
        <is>
          <t>ISO/IEC standards</t>
        </is>
      </c>
      <c r="B568" s="157" t="inlineStr">
        <is>
          <t>ISO/IEC 42005</t>
        </is>
      </c>
      <c r="C568" s="157" t="inlineStr">
        <is>
          <t>ISO/IEC 42005: AI system impact assessment</t>
        </is>
      </c>
      <c r="D568" s="157" t="inlineStr">
        <is>
          <t>Actual and reasonably foreseeable impacts, in</t>
        </is>
      </c>
      <c r="E568" s="157" t="inlineStr">
        <is>
          <t>Actual and reasonably foreseeable impacts, including failures and misuse</t>
        </is>
      </c>
      <c r="F568" s="157" t="inlineStr">
        <is>
          <t>AI-CTRL-042</t>
        </is>
      </c>
      <c r="G568" s="157" t="inlineStr">
        <is>
          <t>AI-R10, AI-R12, AI-R28</t>
        </is>
      </c>
      <c r="H568" s="157" t="inlineStr">
        <is>
          <t>Derived via mapped controls</t>
        </is>
      </c>
      <c r="I568" s="157" t="inlineStr"/>
      <c r="J568" s="157" t="inlineStr"/>
      <c r="K568" s="157" t="inlineStr">
        <is>
          <t>https://nachi065.github.io/AI-Security-Wiki/23_Framework_Crosswalks/15_ISO_IEC_AI_Standards_Crosswalk.html</t>
        </is>
      </c>
    </row>
    <row r="569">
      <c r="A569" s="6" t="inlineStr">
        <is>
          <t>ISO/IEC standards</t>
        </is>
      </c>
      <c r="B569" s="6" t="inlineStr">
        <is>
          <t>ISO/IEC 42005</t>
        </is>
      </c>
      <c r="C569" s="6" t="inlineStr">
        <is>
          <t>ISO/IEC 42005: AI system impact assessment</t>
        </is>
      </c>
      <c r="D569" s="6" t="inlineStr">
        <is>
          <t>Measures to address harms and benefits</t>
        </is>
      </c>
      <c r="E569" s="6" t="inlineStr">
        <is>
          <t>Measures to address harms and benefits</t>
        </is>
      </c>
      <c r="F569" s="6" t="inlineStr">
        <is>
          <t>AI-CTRL-042</t>
        </is>
      </c>
      <c r="G569" s="6" t="inlineStr">
        <is>
          <t>AI-R10, AI-R12, AI-R28</t>
        </is>
      </c>
      <c r="H569" s="6" t="inlineStr">
        <is>
          <t>Derived via mapped controls</t>
        </is>
      </c>
      <c r="I569" s="6" t="inlineStr"/>
      <c r="J569" s="6" t="inlineStr"/>
      <c r="K569" s="6" t="inlineStr">
        <is>
          <t>https://nachi065.github.io/AI-Security-Wiki/23_Framework_Crosswalks/15_ISO_IEC_AI_Standards_Crosswalk.html</t>
        </is>
      </c>
    </row>
    <row r="570">
      <c r="A570" s="157" t="inlineStr">
        <is>
          <t>ISO/IEC standards</t>
        </is>
      </c>
      <c r="B570" s="157" t="inlineStr">
        <is>
          <t>ISO/IEC 42006</t>
        </is>
      </c>
      <c r="C570" s="157" t="inlineStr">
        <is>
          <t>ISO/IEC 42006: certification of AI management systems</t>
        </is>
      </c>
      <c r="D570" s="157" t="inlineStr">
        <is>
          <t>Specific technical competence requirements</t>
        </is>
      </c>
      <c r="E570" s="157" t="inlineStr">
        <is>
          <t>Specific technical competence requirements</t>
        </is>
      </c>
      <c r="F570" s="157" t="inlineStr">
        <is>
          <t>None</t>
        </is>
      </c>
      <c r="G570" s="157" t="inlineStr">
        <is>
          <t>None</t>
        </is>
      </c>
      <c r="H570" s="157" t="inlineStr">
        <is>
          <t>Derived via mapped controls</t>
        </is>
      </c>
      <c r="I570" s="157" t="inlineStr"/>
      <c r="J570" s="157" t="inlineStr">
        <is>
          <t>Where the wiki covers it: Evidence by control in the AI Security Audit and Evidence Checklist</t>
        </is>
      </c>
      <c r="K570" s="157" t="inlineStr">
        <is>
          <t>https://nachi065.github.io/AI-Security-Wiki/23_Framework_Crosswalks/15_ISO_IEC_AI_Standards_Crosswalk.html</t>
        </is>
      </c>
    </row>
    <row r="571">
      <c r="A571" s="6" t="inlineStr">
        <is>
          <t>ISO/IEC standards</t>
        </is>
      </c>
      <c r="B571" s="6" t="inlineStr">
        <is>
          <t>ISO/IEC 42006</t>
        </is>
      </c>
      <c r="C571" s="6" t="inlineStr">
        <is>
          <t>ISO/IEC 42006: certification of AI management systems</t>
        </is>
      </c>
      <c r="D571" s="6" t="inlineStr">
        <is>
          <t>Access to the documentation of the organizati</t>
        </is>
      </c>
      <c r="E571" s="6" t="inlineStr">
        <is>
          <t>Access to the documentation of the organization</t>
        </is>
      </c>
      <c r="F571" s="6" t="inlineStr">
        <is>
          <t>AI-CTRL-038</t>
        </is>
      </c>
      <c r="G571" s="6" t="inlineStr">
        <is>
          <t>AI-R09, AI-R15, AI-R28</t>
        </is>
      </c>
      <c r="H571" s="6" t="inlineStr">
        <is>
          <t>Derived via mapped controls</t>
        </is>
      </c>
      <c r="I571" s="6" t="inlineStr"/>
      <c r="J571" s="6" t="inlineStr"/>
      <c r="K571" s="6" t="inlineStr">
        <is>
          <t>https://nachi065.github.io/AI-Security-Wiki/23_Framework_Crosswalks/15_ISO_IEC_AI_Standards_Crosswalk.html</t>
        </is>
      </c>
    </row>
    <row r="572">
      <c r="A572" s="157" t="inlineStr">
        <is>
          <t>ISO/IEC standards</t>
        </is>
      </c>
      <c r="B572" s="157" t="inlineStr">
        <is>
          <t>ISO/IEC 42006</t>
        </is>
      </c>
      <c r="C572" s="157" t="inlineStr">
        <is>
          <t>ISO/IEC 42006: certification of AI management systems</t>
        </is>
      </c>
      <c r="D572" s="157" t="inlineStr">
        <is>
          <t>Scope of certification</t>
        </is>
      </c>
      <c r="E572" s="157" t="inlineStr">
        <is>
          <t>Scope of certification</t>
        </is>
      </c>
      <c r="F572" s="157" t="inlineStr">
        <is>
          <t>AI-CTRL-011</t>
        </is>
      </c>
      <c r="G572" s="157" t="inlineStr">
        <is>
          <t>AI-R02, AI-R18</t>
        </is>
      </c>
      <c r="H572" s="157" t="inlineStr">
        <is>
          <t>Derived via mapped controls</t>
        </is>
      </c>
      <c r="I572" s="157" t="inlineStr"/>
      <c r="J572" s="157" t="inlineStr"/>
      <c r="K572" s="157" t="inlineStr">
        <is>
          <t>https://nachi065.github.io/AI-Security-Wiki/23_Framework_Crosswalks/15_ISO_IEC_AI_Standards_Crosswalk.html</t>
        </is>
      </c>
    </row>
    <row r="573">
      <c r="A573" s="6" t="inlineStr">
        <is>
          <t>ISO/IEC standards</t>
        </is>
      </c>
      <c r="B573" s="6" t="inlineStr">
        <is>
          <t>ISO/IEC 42006</t>
        </is>
      </c>
      <c r="C573" s="6" t="inlineStr">
        <is>
          <t>ISO/IEC 42006: certification of AI management systems</t>
        </is>
      </c>
      <c r="D573" s="6" t="inlineStr">
        <is>
          <t>9.1.4 and Annex A</t>
        </is>
      </c>
      <c r="E573" s="6" t="inlineStr">
        <is>
          <t>Determining audit time</t>
        </is>
      </c>
      <c r="F573" s="6" t="inlineStr">
        <is>
          <t>AI-CTRL-011, AI-CTRL-014</t>
        </is>
      </c>
      <c r="G573" s="6" t="inlineStr">
        <is>
          <t>AI-R02, AI-R08, AI-R10, AI-R16, AI-R18</t>
        </is>
      </c>
      <c r="H573" s="6" t="inlineStr">
        <is>
          <t>Derived via mapped controls</t>
        </is>
      </c>
      <c r="I573" s="6" t="inlineStr"/>
      <c r="J573" s="6" t="inlineStr"/>
      <c r="K573" s="6" t="inlineStr">
        <is>
          <t>https://nachi065.github.io/AI-Security-Wiki/23_Framework_Crosswalks/15_ISO_IEC_AI_Standards_Crosswalk.html</t>
        </is>
      </c>
    </row>
    <row r="574">
      <c r="A574" s="157" t="inlineStr">
        <is>
          <t>ISO/IEC standards</t>
        </is>
      </c>
      <c r="B574" s="157" t="inlineStr">
        <is>
          <t>ISO/IEC 42006</t>
        </is>
      </c>
      <c r="C574" s="157" t="inlineStr">
        <is>
          <t>ISO/IEC 42006: certification of AI management systems</t>
        </is>
      </c>
      <c r="D574" s="157" t="inlineStr">
        <is>
          <t>Maintaining certification</t>
        </is>
      </c>
      <c r="E574" s="157" t="inlineStr">
        <is>
          <t>Maintaining certification</t>
        </is>
      </c>
      <c r="F574" s="157" t="inlineStr">
        <is>
          <t>AI-CTRL-038</t>
        </is>
      </c>
      <c r="G574" s="157" t="inlineStr">
        <is>
          <t>AI-R09, AI-R15, AI-R28</t>
        </is>
      </c>
      <c r="H574" s="157" t="inlineStr">
        <is>
          <t>Derived via mapped controls</t>
        </is>
      </c>
      <c r="I574" s="157" t="inlineStr"/>
      <c r="J574" s="157" t="inlineStr"/>
      <c r="K574" s="157" t="inlineStr">
        <is>
          <t>https://nachi065.github.io/AI-Security-Wiki/23_Framework_Crosswalks/15_ISO_IEC_AI_Standards_Crosswalk.html</t>
        </is>
      </c>
    </row>
    <row r="575">
      <c r="A575" s="6" t="inlineStr">
        <is>
          <t>ISO/IEC standards</t>
        </is>
      </c>
      <c r="B575" s="6" t="inlineStr">
        <is>
          <t>ISO/IEC 23894</t>
        </is>
      </c>
      <c r="C575" s="6" t="inlineStr">
        <is>
          <t>ISO/IEC 23894: AI risk management</t>
        </is>
      </c>
      <c r="D575" s="6" t="inlineStr">
        <is>
          <t>5.2 to 5.4</t>
        </is>
      </c>
      <c r="E575" s="6" t="inlineStr">
        <is>
          <t>Leadership, integration and design of the framework</t>
        </is>
      </c>
      <c r="F575" s="6" t="inlineStr">
        <is>
          <t>AI-CTRL-012</t>
        </is>
      </c>
      <c r="G575" s="6" t="inlineStr">
        <is>
          <t>AI-R02, AI-R03, AI-R18, AI-R19, AI-R27, AI-R28</t>
        </is>
      </c>
      <c r="H575" s="6" t="inlineStr">
        <is>
          <t>Derived via mapped controls</t>
        </is>
      </c>
      <c r="I575" s="6" t="inlineStr"/>
      <c r="J575" s="6" t="inlineStr"/>
      <c r="K575" s="6" t="inlineStr">
        <is>
          <t>https://nachi065.github.io/AI-Security-Wiki/23_Framework_Crosswalks/15_ISO_IEC_AI_Standards_Crosswalk.html</t>
        </is>
      </c>
    </row>
    <row r="576">
      <c r="A576" s="157" t="inlineStr">
        <is>
          <t>ISO/IEC standards</t>
        </is>
      </c>
      <c r="B576" s="157" t="inlineStr">
        <is>
          <t>ISO/IEC 23894</t>
        </is>
      </c>
      <c r="C576" s="157" t="inlineStr">
        <is>
          <t>ISO/IEC 23894: AI risk management</t>
        </is>
      </c>
      <c r="D576" s="157" t="inlineStr">
        <is>
          <t>6.2 to 6.7</t>
        </is>
      </c>
      <c r="E576" s="157" t="inlineStr">
        <is>
          <t>Risk management process</t>
        </is>
      </c>
      <c r="F576" s="157" t="inlineStr">
        <is>
          <t>None</t>
        </is>
      </c>
      <c r="G576" s="157" t="inlineStr">
        <is>
          <t>None</t>
        </is>
      </c>
      <c r="H576" s="157" t="inlineStr">
        <is>
          <t>Derived via mapped controls</t>
        </is>
      </c>
      <c r="I576" s="157" t="inlineStr"/>
      <c r="J576" s="157" t="inlineStr">
        <is>
          <t>Where the wiki covers it: AI Risk Methodology and the Risk Management section</t>
        </is>
      </c>
      <c r="K576" s="157" t="inlineStr">
        <is>
          <t>https://nachi065.github.io/AI-Security-Wiki/23_Framework_Crosswalks/15_ISO_IEC_AI_Standards_Crosswalk.html</t>
        </is>
      </c>
    </row>
    <row r="577">
      <c r="A577" s="6" t="inlineStr">
        <is>
          <t>ISO/IEC standards</t>
        </is>
      </c>
      <c r="B577" s="6" t="inlineStr">
        <is>
          <t>ISO/IEC 23894</t>
        </is>
      </c>
      <c r="C577" s="6" t="inlineStr">
        <is>
          <t>ISO/IEC 23894: AI risk management</t>
        </is>
      </c>
      <c r="D577" s="6" t="inlineStr">
        <is>
          <t>Annex B</t>
        </is>
      </c>
      <c r="E577" s="6" t="inlineStr">
        <is>
          <t>Risk sources</t>
        </is>
      </c>
      <c r="F577" s="6" t="inlineStr">
        <is>
          <t>None</t>
        </is>
      </c>
      <c r="G577" s="6" t="inlineStr">
        <is>
          <t>None</t>
        </is>
      </c>
      <c r="H577" s="6" t="inlineStr">
        <is>
          <t>Derived via mapped controls</t>
        </is>
      </c>
      <c r="I577" s="6" t="inlineStr"/>
      <c r="J577" s="6" t="inlineStr">
        <is>
          <t>Where the wiki covers it: Enterprise AI Risk Register; Threat Taxonomy</t>
        </is>
      </c>
      <c r="K577" s="6" t="inlineStr">
        <is>
          <t>https://nachi065.github.io/AI-Security-Wiki/23_Framework_Crosswalks/15_ISO_IEC_AI_Standards_Crosswalk.html</t>
        </is>
      </c>
    </row>
    <row r="578">
      <c r="A578" s="157" t="inlineStr">
        <is>
          <t>ISO/IEC standards</t>
        </is>
      </c>
      <c r="B578" s="157" t="inlineStr">
        <is>
          <t>ISO/IEC 23894</t>
        </is>
      </c>
      <c r="C578" s="157" t="inlineStr">
        <is>
          <t>ISO/IEC 23894: AI risk management</t>
        </is>
      </c>
      <c r="D578" s="157" t="inlineStr">
        <is>
          <t>Annex C</t>
        </is>
      </c>
      <c r="E578" s="157" t="inlineStr">
        <is>
          <t>Risk management and the AI system life cycle</t>
        </is>
      </c>
      <c r="F578" s="157" t="inlineStr">
        <is>
          <t>None</t>
        </is>
      </c>
      <c r="G578" s="157" t="inlineStr">
        <is>
          <t>None</t>
        </is>
      </c>
      <c r="H578" s="157" t="inlineStr">
        <is>
          <t>Derived via mapped controls</t>
        </is>
      </c>
      <c r="I578" s="157" t="inlineStr"/>
      <c r="J578" s="157" t="inlineStr">
        <is>
          <t>Where the wiki covers it: Risk, Control and Test Traceability</t>
        </is>
      </c>
      <c r="K578" s="157" t="inlineStr">
        <is>
          <t>https://nachi065.github.io/AI-Security-Wiki/23_Framework_Crosswalks/15_ISO_IEC_AI_Standards_Crosswalk.html</t>
        </is>
      </c>
    </row>
    <row r="579">
      <c r="A579" s="6" t="inlineStr">
        <is>
          <t>ISO/IEC standards</t>
        </is>
      </c>
      <c r="B579" s="6" t="inlineStr">
        <is>
          <t>ISO/IEC TR 24028</t>
        </is>
      </c>
      <c r="C579" s="6" t="inlineStr">
        <is>
          <t>ISO/IEC TR 24028: trustworthiness</t>
        </is>
      </c>
      <c r="D579" s="6" t="inlineStr">
        <is>
          <t>AI-specific security threats (data poisoning,</t>
        </is>
      </c>
      <c r="E579" s="6" t="inlineStr">
        <is>
          <t>AI-specific security threats (data poisoning, adversarial attacks, model stealing, hardware threats)</t>
        </is>
      </c>
      <c r="F579" s="6" t="inlineStr">
        <is>
          <t>AI-CTRL-028, AI-CTRL-029, AI-CTRL-032, AI-CTRL-034</t>
        </is>
      </c>
      <c r="G579" s="6" t="inlineStr">
        <is>
          <t>AI-R05, AI-R07, AI-R08, AI-R10, AI-R16, AI-R17, AI-R20</t>
        </is>
      </c>
      <c r="H579" s="6" t="inlineStr">
        <is>
          <t>Derived via mapped controls</t>
        </is>
      </c>
      <c r="I579" s="6" t="inlineStr"/>
      <c r="J579" s="6" t="inlineStr"/>
      <c r="K579" s="6" t="inlineStr">
        <is>
          <t>https://nachi065.github.io/AI-Security-Wiki/23_Framework_Crosswalks/15_ISO_IEC_AI_Standards_Crosswalk.html</t>
        </is>
      </c>
    </row>
    <row r="580">
      <c r="A580" s="157" t="inlineStr">
        <is>
          <t>ISO/IEC standards</t>
        </is>
      </c>
      <c r="B580" s="157" t="inlineStr">
        <is>
          <t>ISO/IEC TR 24028</t>
        </is>
      </c>
      <c r="C580" s="157" t="inlineStr">
        <is>
          <t>ISO/IEC TR 24028: trustworthiness</t>
        </is>
      </c>
      <c r="D580" s="157" t="inlineStr">
        <is>
          <t>AI-specific privacy threats</t>
        </is>
      </c>
      <c r="E580" s="157" t="inlineStr">
        <is>
          <t>AI-specific privacy threats</t>
        </is>
      </c>
      <c r="F580" s="157" t="inlineStr">
        <is>
          <t>AI-CTRL-013, AI-CTRL-017</t>
        </is>
      </c>
      <c r="G580" s="157" t="inlineStr">
        <is>
          <t>AI-R01, AI-R03, AI-R06, AI-R10, AI-R17, AI-R27, AI-R28</t>
        </is>
      </c>
      <c r="H580" s="157" t="inlineStr">
        <is>
          <t>Derived via mapped controls</t>
        </is>
      </c>
      <c r="I580" s="157" t="inlineStr"/>
      <c r="J580" s="157" t="inlineStr"/>
      <c r="K580" s="157" t="inlineStr">
        <is>
          <t>https://nachi065.github.io/AI-Security-Wiki/23_Framework_Crosswalks/15_ISO_IEC_AI_Standards_Crosswalk.html</t>
        </is>
      </c>
    </row>
    <row r="581">
      <c r="A581" s="6" t="inlineStr">
        <is>
          <t>ISO/IEC standards</t>
        </is>
      </c>
      <c r="B581" s="6" t="inlineStr">
        <is>
          <t>ISO/IEC TR 24028</t>
        </is>
      </c>
      <c r="C581" s="6" t="inlineStr">
        <is>
          <t>ISO/IEC TR 24028: trustworthiness</t>
        </is>
      </c>
      <c r="D581" s="6" t="inlineStr">
        <is>
          <t>8.4 to 8.6</t>
        </is>
      </c>
      <c r="E581" s="6" t="inlineStr">
        <is>
          <t>Bias, unpredictability, opaqueness</t>
        </is>
      </c>
      <c r="F581" s="6" t="inlineStr">
        <is>
          <t>AI-CTRL-039, AI-CTRL-041</t>
        </is>
      </c>
      <c r="G581" s="6" t="inlineStr">
        <is>
          <t>AI-R12, AI-R14, AI-R15, AI-R20</t>
        </is>
      </c>
      <c r="H581" s="6" t="inlineStr">
        <is>
          <t>Derived via mapped controls</t>
        </is>
      </c>
      <c r="I581" s="6" t="inlineStr"/>
      <c r="J581" s="6" t="inlineStr"/>
      <c r="K581" s="6" t="inlineStr">
        <is>
          <t>https://nachi065.github.io/AI-Security-Wiki/23_Framework_Crosswalks/15_ISO_IEC_AI_Standards_Crosswalk.html</t>
        </is>
      </c>
    </row>
    <row r="582">
      <c r="A582" s="157" t="inlineStr">
        <is>
          <t>ISO/IEC standards</t>
        </is>
      </c>
      <c r="B582" s="157" t="inlineStr">
        <is>
          <t>ISO/IEC TR 24028</t>
        </is>
      </c>
      <c r="C582" s="157" t="inlineStr">
        <is>
          <t>ISO/IEC TR 24028: trustworthiness</t>
        </is>
      </c>
      <c r="D582" s="157" t="inlineStr">
        <is>
          <t>9.2, 9.3</t>
        </is>
      </c>
      <c r="E582" s="157" t="inlineStr">
        <is>
          <t>Transparency; explainability (ex-ante and ex-post, levels, evaluation)</t>
        </is>
      </c>
      <c r="F582" s="157" t="inlineStr">
        <is>
          <t>AI-CTRL-039, AI-CTRL-041</t>
        </is>
      </c>
      <c r="G582" s="157" t="inlineStr">
        <is>
          <t>AI-R12, AI-R14, AI-R15, AI-R20</t>
        </is>
      </c>
      <c r="H582" s="157" t="inlineStr">
        <is>
          <t>Derived via mapped controls</t>
        </is>
      </c>
      <c r="I582" s="157" t="inlineStr"/>
      <c r="J582" s="157" t="inlineStr"/>
      <c r="K582" s="157" t="inlineStr">
        <is>
          <t>https://nachi065.github.io/AI-Security-Wiki/23_Framework_Crosswalks/15_ISO_IEC_AI_Standards_Crosswalk.html</t>
        </is>
      </c>
    </row>
    <row r="583">
      <c r="A583" s="6" t="inlineStr">
        <is>
          <t>ISO/IEC standards</t>
        </is>
      </c>
      <c r="B583" s="6" t="inlineStr">
        <is>
          <t>ISO/IEC TR 24028</t>
        </is>
      </c>
      <c r="C583" s="6" t="inlineStr">
        <is>
          <t>ISO/IEC TR 24028: trustworthiness</t>
        </is>
      </c>
      <c r="D583" s="6" t="inlineStr">
        <is>
          <t xml:space="preserve">Controllability, including human-in-the-loop </t>
        </is>
      </c>
      <c r="E583" s="6" t="inlineStr">
        <is>
          <t>Controllability, including human-in-the-loop control points</t>
        </is>
      </c>
      <c r="F583" s="6" t="inlineStr">
        <is>
          <t>AI-CTRL-023, AI-CTRL-025, AI-CTRL-045</t>
        </is>
      </c>
      <c r="G583" s="6" t="inlineStr">
        <is>
          <t>AI-R07, AI-R11, AI-R12, AI-R14, AI-R18, AI-R19, AI-R21, AI-R25, AI-R28, AI-R55</t>
        </is>
      </c>
      <c r="H583" s="6" t="inlineStr">
        <is>
          <t>Derived via mapped controls</t>
        </is>
      </c>
      <c r="I583" s="6" t="inlineStr"/>
      <c r="J583" s="6" t="inlineStr"/>
      <c r="K583" s="6" t="inlineStr">
        <is>
          <t>https://nachi065.github.io/AI-Security-Wiki/23_Framework_Crosswalks/15_ISO_IEC_AI_Standards_Crosswalk.html</t>
        </is>
      </c>
    </row>
    <row r="584">
      <c r="A584" s="157" t="inlineStr">
        <is>
          <t>ISO/IEC standards</t>
        </is>
      </c>
      <c r="B584" s="157" t="inlineStr">
        <is>
          <t>ISO/IEC TR 24028</t>
        </is>
      </c>
      <c r="C584" s="157" t="inlineStr">
        <is>
          <t>ISO/IEC TR 24028: trustworthiness</t>
        </is>
      </c>
      <c r="D584" s="157" t="inlineStr">
        <is>
          <t>Testing and evaluation</t>
        </is>
      </c>
      <c r="E584" s="157" t="inlineStr">
        <is>
          <t>Testing and evaluation</t>
        </is>
      </c>
      <c r="F584" s="157" t="inlineStr">
        <is>
          <t>AI-CTRL-033, AI-CTRL-034</t>
        </is>
      </c>
      <c r="G584" s="157" t="inlineStr">
        <is>
          <t>AI-R05, AI-R07, AI-R08, AI-R14, AI-R16, AI-R17, AI-R20, AI-R55</t>
        </is>
      </c>
      <c r="H584" s="157" t="inlineStr">
        <is>
          <t>Derived via mapped controls</t>
        </is>
      </c>
      <c r="I584" s="157" t="inlineStr"/>
      <c r="J584" s="157" t="inlineStr"/>
      <c r="K584" s="157" t="inlineStr">
        <is>
          <t>https://nachi065.github.io/AI-Security-Wiki/23_Framework_Crosswalks/15_ISO_IEC_AI_Standards_Crosswalk.html</t>
        </is>
      </c>
    </row>
    <row r="585">
      <c r="A585" s="6" t="inlineStr">
        <is>
          <t>ISO/IEC standards</t>
        </is>
      </c>
      <c r="B585" s="6" t="inlineStr">
        <is>
          <t>ISO/IEC TR 24028</t>
        </is>
      </c>
      <c r="C585" s="6" t="inlineStr">
        <is>
          <t>ISO/IEC TR 24028: trustworthiness</t>
        </is>
      </c>
      <c r="D585" s="6" t="inlineStr">
        <is>
          <t>Product labelling</t>
        </is>
      </c>
      <c r="E585" s="6" t="inlineStr">
        <is>
          <t>Product labelling</t>
        </is>
      </c>
      <c r="F585" s="6" t="inlineStr">
        <is>
          <t>None</t>
        </is>
      </c>
      <c r="G585" s="6" t="inlineStr">
        <is>
          <t>None</t>
        </is>
      </c>
      <c r="H585" s="6" t="inlineStr">
        <is>
          <t>Derived via mapped controls</t>
        </is>
      </c>
      <c r="I585" s="6" t="inlineStr"/>
      <c r="J585" s="6" t="inlineStr">
        <is>
          <t>Where the wiki covers it: EU T06 Transparency Notice</t>
        </is>
      </c>
      <c r="K585" s="6" t="inlineStr">
        <is>
          <t>https://nachi065.github.io/AI-Security-Wiki/23_Framework_Crosswalks/15_ISO_IEC_AI_Standards_Crosswalk.html</t>
        </is>
      </c>
    </row>
    <row r="586">
      <c r="A586" s="157" t="inlineStr">
        <is>
          <t>ISO/IEC standards</t>
        </is>
      </c>
      <c r="B586" s="157" t="inlineStr">
        <is>
          <t>ISO/IEC 5338</t>
        </is>
      </c>
      <c r="C586" s="157" t="inlineStr">
        <is>
          <t>ISO/IEC 5338: AI system life cycle processes</t>
        </is>
      </c>
      <c r="D586" s="157" t="inlineStr">
        <is>
          <t>6.1.1, 6.1.2</t>
        </is>
      </c>
      <c r="E586" s="157" t="inlineStr">
        <is>
          <t>Acquisition and supply processes</t>
        </is>
      </c>
      <c r="F586" s="157" t="inlineStr">
        <is>
          <t>AI-CTRL-014</t>
        </is>
      </c>
      <c r="G586" s="157" t="inlineStr">
        <is>
          <t>AI-R08, AI-R10, AI-R16</t>
        </is>
      </c>
      <c r="H586" s="157" t="inlineStr">
        <is>
          <t>Derived via mapped controls</t>
        </is>
      </c>
      <c r="I586" s="157" t="inlineStr"/>
      <c r="J586" s="157" t="inlineStr"/>
      <c r="K586" s="157" t="inlineStr">
        <is>
          <t>https://nachi065.github.io/AI-Security-Wiki/23_Framework_Crosswalks/15_ISO_IEC_AI_Standards_Crosswalk.html</t>
        </is>
      </c>
    </row>
    <row r="587">
      <c r="A587" s="6" t="inlineStr">
        <is>
          <t>ISO/IEC standards</t>
        </is>
      </c>
      <c r="B587" s="6" t="inlineStr">
        <is>
          <t>ISO/IEC 5338</t>
        </is>
      </c>
      <c r="C587" s="6" t="inlineStr">
        <is>
          <t>ISO/IEC 5338: AI system life cycle processes</t>
        </is>
      </c>
      <c r="D587" s="6" t="inlineStr">
        <is>
          <t>6.3.4, 6.3.5</t>
        </is>
      </c>
      <c r="E587" s="6" t="inlineStr">
        <is>
          <t>Risk management; configuration management</t>
        </is>
      </c>
      <c r="F587" s="6" t="inlineStr">
        <is>
          <t>AI-CTRL-031, AI-CTRL-037</t>
        </is>
      </c>
      <c r="G587" s="6" t="inlineStr">
        <is>
          <t>AI-R02, AI-R08, AI-R16, AI-R18, AI-R23, AI-R28, AI-R55</t>
        </is>
      </c>
      <c r="H587" s="6" t="inlineStr">
        <is>
          <t>Derived via mapped controls</t>
        </is>
      </c>
      <c r="I587" s="6" t="inlineStr"/>
      <c r="J587" s="6" t="inlineStr"/>
      <c r="K587" s="6" t="inlineStr">
        <is>
          <t>https://nachi065.github.io/AI-Security-Wiki/23_Framework_Crosswalks/15_ISO_IEC_AI_Standards_Crosswalk.html</t>
        </is>
      </c>
    </row>
    <row r="588">
      <c r="A588" s="157" t="inlineStr">
        <is>
          <t>ISO/IEC standards</t>
        </is>
      </c>
      <c r="B588" s="157" t="inlineStr">
        <is>
          <t>ISO/IEC 5338</t>
        </is>
      </c>
      <c r="C588" s="157" t="inlineStr">
        <is>
          <t>ISO/IEC 5338: AI system life cycle processes</t>
        </is>
      </c>
      <c r="D588" s="157" t="inlineStr">
        <is>
          <t>Knowledge acquisition process</t>
        </is>
      </c>
      <c r="E588" s="157" t="inlineStr">
        <is>
          <t>Knowledge acquisition process</t>
        </is>
      </c>
      <c r="F588" s="157" t="inlineStr">
        <is>
          <t>AI-CTRL-019</t>
        </is>
      </c>
      <c r="G588" s="157" t="inlineStr">
        <is>
          <t>AI-R05, AI-R08, AI-R17</t>
        </is>
      </c>
      <c r="H588" s="157" t="inlineStr">
        <is>
          <t>Derived via mapped controls</t>
        </is>
      </c>
      <c r="I588" s="157" t="inlineStr"/>
      <c r="J588" s="157" t="inlineStr"/>
      <c r="K588" s="157" t="inlineStr">
        <is>
          <t>https://nachi065.github.io/AI-Security-Wiki/23_Framework_Crosswalks/15_ISO_IEC_AI_Standards_Crosswalk.html</t>
        </is>
      </c>
    </row>
    <row r="589">
      <c r="A589" s="6" t="inlineStr">
        <is>
          <t>ISO/IEC standards</t>
        </is>
      </c>
      <c r="B589" s="6" t="inlineStr">
        <is>
          <t>ISO/IEC 5338</t>
        </is>
      </c>
      <c r="C589" s="6" t="inlineStr">
        <is>
          <t>ISO/IEC 5338: AI system life cycle processes</t>
        </is>
      </c>
      <c r="D589" s="6" t="inlineStr">
        <is>
          <t>AI data engineering process</t>
        </is>
      </c>
      <c r="E589" s="6" t="inlineStr">
        <is>
          <t>AI data engineering process</t>
        </is>
      </c>
      <c r="F589" s="6" t="inlineStr">
        <is>
          <t>AI-CTRL-017, AI-CTRL-029</t>
        </is>
      </c>
      <c r="G589" s="6" t="inlineStr">
        <is>
          <t>AI-R01, AI-R03, AI-R06, AI-R08, AI-R17</t>
        </is>
      </c>
      <c r="H589" s="6" t="inlineStr">
        <is>
          <t>Derived via mapped controls</t>
        </is>
      </c>
      <c r="I589" s="6" t="inlineStr"/>
      <c r="J589" s="6" t="inlineStr"/>
      <c r="K589" s="6" t="inlineStr">
        <is>
          <t>https://nachi065.github.io/AI-Security-Wiki/23_Framework_Crosswalks/15_ISO_IEC_AI_Standards_Crosswalk.html</t>
        </is>
      </c>
    </row>
    <row r="590">
      <c r="A590" s="157" t="inlineStr">
        <is>
          <t>ISO/IEC standards</t>
        </is>
      </c>
      <c r="B590" s="157" t="inlineStr">
        <is>
          <t>ISO/IEC 5338</t>
        </is>
      </c>
      <c r="C590" s="157" t="inlineStr">
        <is>
          <t>ISO/IEC 5338: AI system life cycle processes</t>
        </is>
      </c>
      <c r="D590" s="157" t="inlineStr">
        <is>
          <t>6.4.11, 6.4.13</t>
        </is>
      </c>
      <c r="E590" s="157" t="inlineStr">
        <is>
          <t>Verification and validation processes</t>
        </is>
      </c>
      <c r="F590" s="157" t="inlineStr">
        <is>
          <t>AI-CTRL-033, AI-CTRL-034</t>
        </is>
      </c>
      <c r="G590" s="157" t="inlineStr">
        <is>
          <t>AI-R05, AI-R07, AI-R08, AI-R14, AI-R16, AI-R17, AI-R20, AI-R55</t>
        </is>
      </c>
      <c r="H590" s="157" t="inlineStr">
        <is>
          <t>Derived via mapped controls</t>
        </is>
      </c>
      <c r="I590" s="157" t="inlineStr"/>
      <c r="J590" s="157" t="inlineStr"/>
      <c r="K590" s="157" t="inlineStr">
        <is>
          <t>https://nachi065.github.io/AI-Security-Wiki/23_Framework_Crosswalks/15_ISO_IEC_AI_Standards_Crosswalk.html</t>
        </is>
      </c>
    </row>
    <row r="591">
      <c r="A591" s="6" t="inlineStr">
        <is>
          <t>ISO/IEC standards</t>
        </is>
      </c>
      <c r="B591" s="6" t="inlineStr">
        <is>
          <t>ISO/IEC 5338</t>
        </is>
      </c>
      <c r="C591" s="6" t="inlineStr">
        <is>
          <t>ISO/IEC 5338: AI system life cycle processes</t>
        </is>
      </c>
      <c r="D591" s="6" t="inlineStr">
        <is>
          <t>Continuous validation process</t>
        </is>
      </c>
      <c r="E591" s="6" t="inlineStr">
        <is>
          <t>Continuous validation process</t>
        </is>
      </c>
      <c r="F591" s="6" t="inlineStr">
        <is>
          <t>AI-CTRL-034</t>
        </is>
      </c>
      <c r="G591" s="6" t="inlineStr">
        <is>
          <t>AI-R05, AI-R07, AI-R16, AI-R17, AI-R20</t>
        </is>
      </c>
      <c r="H591" s="6" t="inlineStr">
        <is>
          <t>Derived via mapped controls</t>
        </is>
      </c>
      <c r="I591" s="6" t="inlineStr"/>
      <c r="J591" s="6" t="inlineStr"/>
      <c r="K591" s="6" t="inlineStr">
        <is>
          <t>https://nachi065.github.io/AI-Security-Wiki/23_Framework_Crosswalks/15_ISO_IEC_AI_Standards_Crosswalk.html</t>
        </is>
      </c>
    </row>
    <row r="592">
      <c r="A592" s="157" t="inlineStr">
        <is>
          <t>ISO/IEC standards</t>
        </is>
      </c>
      <c r="B592" s="157" t="inlineStr">
        <is>
          <t>ISO/IEC 5338</t>
        </is>
      </c>
      <c r="C592" s="157" t="inlineStr">
        <is>
          <t>ISO/IEC 5338: AI system life cycle processes</t>
        </is>
      </c>
      <c r="D592" s="157" t="inlineStr">
        <is>
          <t>6.4.15, 6.4.16</t>
        </is>
      </c>
      <c r="E592" s="157" t="inlineStr">
        <is>
          <t>Operation and maintenance processes</t>
        </is>
      </c>
      <c r="F592" s="157" t="inlineStr">
        <is>
          <t>AI-CTRL-009, AI-CTRL-040</t>
        </is>
      </c>
      <c r="G592" s="157" t="inlineStr">
        <is>
          <t>AI-R09, AI-R13, AI-R16</t>
        </is>
      </c>
      <c r="H592" s="157" t="inlineStr">
        <is>
          <t>Derived via mapped controls</t>
        </is>
      </c>
      <c r="I592" s="157" t="inlineStr"/>
      <c r="J592" s="157" t="inlineStr"/>
      <c r="K592" s="157" t="inlineStr">
        <is>
          <t>https://nachi065.github.io/AI-Security-Wiki/23_Framework_Crosswalks/15_ISO_IEC_AI_Standards_Crosswalk.html</t>
        </is>
      </c>
    </row>
    <row r="593">
      <c r="A593" s="6" t="inlineStr">
        <is>
          <t>ISO/IEC standards</t>
        </is>
      </c>
      <c r="B593" s="6" t="inlineStr">
        <is>
          <t>ISO/IEC 5338</t>
        </is>
      </c>
      <c r="C593" s="6" t="inlineStr">
        <is>
          <t>ISO/IEC 5338: AI system life cycle processes</t>
        </is>
      </c>
      <c r="D593" s="6" t="inlineStr">
        <is>
          <t>Disposal process</t>
        </is>
      </c>
      <c r="E593" s="6" t="inlineStr">
        <is>
          <t>Disposal process</t>
        </is>
      </c>
      <c r="F593" s="6" t="inlineStr">
        <is>
          <t>AI-CTRL-011, AI-CTRL-030</t>
        </is>
      </c>
      <c r="G593" s="6" t="inlineStr">
        <is>
          <t>AI-R02, AI-R08, AI-R18</t>
        </is>
      </c>
      <c r="H593" s="6" t="inlineStr">
        <is>
          <t>Derived via mapped controls</t>
        </is>
      </c>
      <c r="I593" s="6" t="inlineStr"/>
      <c r="J593" s="6" t="inlineStr"/>
      <c r="K593" s="6" t="inlineStr">
        <is>
          <t>https://nachi065.github.io/AI-Security-Wiki/23_Framework_Crosswalks/15_ISO_IEC_AI_Standards_Crosswalk.html</t>
        </is>
      </c>
    </row>
    <row r="594">
      <c r="A594" s="157" t="inlineStr">
        <is>
          <t>ISO/IEC standards</t>
        </is>
      </c>
      <c r="B594" s="157" t="inlineStr">
        <is>
          <t>ISO/IEC 23053</t>
        </is>
      </c>
      <c r="C594" s="157" t="inlineStr">
        <is>
          <t>ISO/IEC 23053: ML system framework</t>
        </is>
      </c>
      <c r="D594" s="157" t="inlineStr">
        <is>
          <t>6.3 to 6.5</t>
        </is>
      </c>
      <c r="E594" s="157" t="inlineStr">
        <is>
          <t>Model, data and tools</t>
        </is>
      </c>
      <c r="F594" s="157" t="inlineStr">
        <is>
          <t>None</t>
        </is>
      </c>
      <c r="G594" s="157" t="inlineStr">
        <is>
          <t>None</t>
        </is>
      </c>
      <c r="H594" s="157" t="inlineStr">
        <is>
          <t>Derived via mapped controls</t>
        </is>
      </c>
      <c r="I594" s="157" t="inlineStr"/>
      <c r="J594" s="157" t="inlineStr">
        <is>
          <t>Where the wiki covers it: AI System Boundary and Assets</t>
        </is>
      </c>
      <c r="K594" s="157" t="inlineStr">
        <is>
          <t>https://nachi065.github.io/AI-Security-Wiki/23_Framework_Crosswalks/15_ISO_IEC_AI_Standards_Crosswalk.html</t>
        </is>
      </c>
    </row>
    <row r="595">
      <c r="A595" s="6" t="inlineStr">
        <is>
          <t>ISO/IEC standards</t>
        </is>
      </c>
      <c r="B595" s="6" t="inlineStr">
        <is>
          <t>ISO/IEC 23053</t>
        </is>
      </c>
      <c r="C595" s="6" t="inlineStr">
        <is>
          <t>ISO/IEC 23053: ML system framework</t>
        </is>
      </c>
      <c r="D595" s="6" t="inlineStr">
        <is>
          <t>8.2, 8.3</t>
        </is>
      </c>
      <c r="E595" s="6" t="inlineStr">
        <is>
          <t>Data acquisition and preparation</t>
        </is>
      </c>
      <c r="F595" s="6" t="inlineStr">
        <is>
          <t>AI-CTRL-017, AI-CTRL-029</t>
        </is>
      </c>
      <c r="G595" s="6" t="inlineStr">
        <is>
          <t>AI-R01, AI-R03, AI-R06, AI-R08, AI-R17</t>
        </is>
      </c>
      <c r="H595" s="6" t="inlineStr">
        <is>
          <t>Derived via mapped controls</t>
        </is>
      </c>
      <c r="I595" s="6" t="inlineStr"/>
      <c r="J595" s="6" t="inlineStr"/>
      <c r="K595" s="6" t="inlineStr">
        <is>
          <t>https://nachi065.github.io/AI-Security-Wiki/23_Framework_Crosswalks/15_ISO_IEC_AI_Standards_Crosswalk.html</t>
        </is>
      </c>
    </row>
    <row r="596">
      <c r="A596" s="157" t="inlineStr">
        <is>
          <t>ISO/IEC standards</t>
        </is>
      </c>
      <c r="B596" s="157" t="inlineStr">
        <is>
          <t>ISO/IEC 23053</t>
        </is>
      </c>
      <c r="C596" s="157" t="inlineStr">
        <is>
          <t>ISO/IEC 23053: ML system framework</t>
        </is>
      </c>
      <c r="D596" s="157" t="inlineStr">
        <is>
          <t>8.4, 8.5</t>
        </is>
      </c>
      <c r="E596" s="157" t="inlineStr">
        <is>
          <t>Modelling; verification and validation</t>
        </is>
      </c>
      <c r="F596" s="157" t="inlineStr">
        <is>
          <t>AI-CTRL-030, AI-CTRL-034</t>
        </is>
      </c>
      <c r="G596" s="157" t="inlineStr">
        <is>
          <t>AI-R05, AI-R07, AI-R08, AI-R16, AI-R17, AI-R20</t>
        </is>
      </c>
      <c r="H596" s="157" t="inlineStr">
        <is>
          <t>Derived via mapped controls</t>
        </is>
      </c>
      <c r="I596" s="157" t="inlineStr"/>
      <c r="J596" s="157" t="inlineStr"/>
      <c r="K596" s="157" t="inlineStr">
        <is>
          <t>https://nachi065.github.io/AI-Security-Wiki/23_Framework_Crosswalks/15_ISO_IEC_AI_Standards_Crosswalk.html</t>
        </is>
      </c>
    </row>
    <row r="597">
      <c r="A597" s="6" t="inlineStr">
        <is>
          <t>ISO/IEC standards</t>
        </is>
      </c>
      <c r="B597" s="6" t="inlineStr">
        <is>
          <t>ISO/IEC 23053</t>
        </is>
      </c>
      <c r="C597" s="6" t="inlineStr">
        <is>
          <t>ISO/IEC 23053: ML system framework</t>
        </is>
      </c>
      <c r="D597" s="6" t="inlineStr">
        <is>
          <t>8.6, 8.7</t>
        </is>
      </c>
      <c r="E597" s="6" t="inlineStr">
        <is>
          <t>Model deployment and operation</t>
        </is>
      </c>
      <c r="F597" s="6" t="inlineStr">
        <is>
          <t>AI-CTRL-005, AI-CTRL-030</t>
        </is>
      </c>
      <c r="G597" s="6" t="inlineStr">
        <is>
          <t>AI-R05, AI-R06, AI-R08, AI-R24</t>
        </is>
      </c>
      <c r="H597" s="6" t="inlineStr">
        <is>
          <t>Derived via mapped controls</t>
        </is>
      </c>
      <c r="I597" s="6" t="inlineStr"/>
      <c r="J597" s="6" t="inlineStr"/>
      <c r="K597" s="6" t="inlineStr">
        <is>
          <t>https://nachi065.github.io/AI-Security-Wiki/23_Framework_Crosswalks/15_ISO_IEC_AI_Standards_Crosswalk.html</t>
        </is>
      </c>
    </row>
    <row r="598">
      <c r="A598" s="157" t="inlineStr">
        <is>
          <t>ISO/IEC standards</t>
        </is>
      </c>
      <c r="B598" s="157" t="inlineStr">
        <is>
          <t>ISO/IEC 22989</t>
        </is>
      </c>
      <c r="C598" s="157" t="inlineStr">
        <is>
          <t>ISO/IEC 22989: concepts and terminology</t>
        </is>
      </c>
      <c r="D598" s="157" t="inlineStr">
        <is>
          <t>Terms and definitions</t>
        </is>
      </c>
      <c r="E598" s="157" t="inlineStr">
        <is>
          <t>Terms and definitions</t>
        </is>
      </c>
      <c r="F598" s="157" t="inlineStr">
        <is>
          <t>None</t>
        </is>
      </c>
      <c r="G598" s="157" t="inlineStr">
        <is>
          <t>None</t>
        </is>
      </c>
      <c r="H598" s="157" t="inlineStr">
        <is>
          <t>Derived via mapped controls</t>
        </is>
      </c>
      <c r="I598" s="157" t="inlineStr"/>
      <c r="J598" s="157" t="inlineStr">
        <is>
          <t>Where the wiki covers it: AI Security Glossary and Taxonomy</t>
        </is>
      </c>
      <c r="K598" s="157" t="inlineStr">
        <is>
          <t>https://nachi065.github.io/AI-Security-Wiki/23_Framework_Crosswalks/15_ISO_IEC_AI_Standards_Crosswalk.html</t>
        </is>
      </c>
    </row>
    <row r="599">
      <c r="A599" s="6" t="inlineStr">
        <is>
          <t>ISO/IEC standards</t>
        </is>
      </c>
      <c r="B599" s="6" t="inlineStr">
        <is>
          <t>ISO/IEC 22989</t>
        </is>
      </c>
      <c r="C599" s="6" t="inlineStr">
        <is>
          <t>ISO/IEC 22989: concepts and terminology</t>
        </is>
      </c>
      <c r="D599" s="6" t="inlineStr">
        <is>
          <t>Trustworthiness (robustness, reliability, res</t>
        </is>
      </c>
      <c r="E599" s="6" t="inlineStr">
        <is>
          <t>Trustworthiness (robustness, reliability, resilience, controllability, explainability, predictability, transparency, bias and fairness)</t>
        </is>
      </c>
      <c r="F599" s="6" t="inlineStr">
        <is>
          <t>AI-CTRL-034, AI-CTRL-039, AI-CTRL-040, AI-CTRL-041, AI-CTRL-045</t>
        </is>
      </c>
      <c r="G599" s="6" t="inlineStr">
        <is>
          <t>AI-R05, AI-R07, AI-R12, AI-R13, AI-R14, AI-R15, AI-R16, AI-R17, AI-R18, AI-R19, AI-R20, AI-R28</t>
        </is>
      </c>
      <c r="H599" s="6" t="inlineStr">
        <is>
          <t>Derived via mapped controls</t>
        </is>
      </c>
      <c r="I599" s="6" t="inlineStr"/>
      <c r="J599" s="6" t="inlineStr"/>
      <c r="K599" s="6" t="inlineStr">
        <is>
          <t>https://nachi065.github.io/AI-Security-Wiki/23_Framework_Crosswalks/15_ISO_IEC_AI_Standards_Crosswalk.html</t>
        </is>
      </c>
    </row>
    <row r="600">
      <c r="A600" s="157" t="inlineStr">
        <is>
          <t>ISO/IEC standards</t>
        </is>
      </c>
      <c r="B600" s="157" t="inlineStr">
        <is>
          <t>ISO/IEC 22989</t>
        </is>
      </c>
      <c r="C600" s="157" t="inlineStr">
        <is>
          <t>ISO/IEC 22989: concepts and terminology</t>
        </is>
      </c>
      <c r="D600" s="157" t="inlineStr">
        <is>
          <t>AI stakeholder roles (provider, producer, cus</t>
        </is>
      </c>
      <c r="E600" s="157" t="inlineStr">
        <is>
          <t>AI stakeholder roles (provider, producer, customer, partner, subject, relevant authorities)</t>
        </is>
      </c>
      <c r="F600" s="157" t="inlineStr">
        <is>
          <t>None</t>
        </is>
      </c>
      <c r="G600" s="157" t="inlineStr">
        <is>
          <t>None</t>
        </is>
      </c>
      <c r="H600" s="157" t="inlineStr">
        <is>
          <t>Derived via mapped controls</t>
        </is>
      </c>
      <c r="I600" s="157" t="inlineStr"/>
      <c r="J600" s="157" t="inlineStr">
        <is>
          <t>Where the wiki covers it: Terminology and the Two-Axis Model; "Standard Vocabulary" in the glossary</t>
        </is>
      </c>
      <c r="K600" s="157" t="inlineStr">
        <is>
          <t>https://nachi065.github.io/AI-Security-Wiki/23_Framework_Crosswalks/15_ISO_IEC_AI_Standards_Crosswalk.html</t>
        </is>
      </c>
    </row>
    <row r="601">
      <c r="A601" s="6" t="inlineStr">
        <is>
          <t>ISO/IEC standards</t>
        </is>
      </c>
      <c r="B601" s="6" t="inlineStr">
        <is>
          <t>ISO/IEC 22989</t>
        </is>
      </c>
      <c r="C601" s="6" t="inlineStr">
        <is>
          <t>ISO/IEC 22989: concepts and terminology</t>
        </is>
      </c>
      <c r="D601" s="6" t="inlineStr">
        <is>
          <t>AI system life cycle stages (inception to ret</t>
        </is>
      </c>
      <c r="E601" s="6" t="inlineStr">
        <is>
          <t>AI system life cycle stages (inception to retirement)</t>
        </is>
      </c>
      <c r="F601" s="6" t="inlineStr">
        <is>
          <t>None</t>
        </is>
      </c>
      <c r="G601" s="6" t="inlineStr">
        <is>
          <t>None</t>
        </is>
      </c>
      <c r="H601" s="6" t="inlineStr">
        <is>
          <t>Derived via mapped controls</t>
        </is>
      </c>
      <c r="I601" s="6" t="inlineStr"/>
      <c r="J601" s="6" t="inlineStr">
        <is>
          <t>Where the wiki covers it: Home page section 6 lifecycle</t>
        </is>
      </c>
      <c r="K601" s="6" t="inlineStr">
        <is>
          <t>https://nachi065.github.io/AI-Security-Wiki/23_Framework_Crosswalks/15_ISO_IEC_AI_Standards_Crosswalk.html</t>
        </is>
      </c>
    </row>
    <row r="602">
      <c r="A602" s="157" t="inlineStr">
        <is>
          <t>ISO/IEC standards</t>
        </is>
      </c>
      <c r="B602" s="157" t="inlineStr">
        <is>
          <t>ISO/IEC 5259</t>
        </is>
      </c>
      <c r="C602" s="157" t="inlineStr">
        <is>
          <t>ISO/IEC 5259: data quality for analytics and ML</t>
        </is>
      </c>
      <c r="D602" s="157" t="inlineStr">
        <is>
          <t>5259-1, 5.3</t>
        </is>
      </c>
      <c r="E602" s="157" t="inlineStr">
        <is>
          <t>Data life cycle for analytics and ML</t>
        </is>
      </c>
      <c r="F602" s="157" t="inlineStr">
        <is>
          <t>AI-CTRL-017, AI-CTRL-029</t>
        </is>
      </c>
      <c r="G602" s="157" t="inlineStr">
        <is>
          <t>AI-R01, AI-R03, AI-R06, AI-R08, AI-R17</t>
        </is>
      </c>
      <c r="H602" s="157" t="inlineStr">
        <is>
          <t>Derived via mapped controls</t>
        </is>
      </c>
      <c r="I602" s="157" t="inlineStr"/>
      <c r="J602" s="157" t="inlineStr"/>
      <c r="K602" s="157" t="inlineStr">
        <is>
          <t>https://nachi065.github.io/AI-Security-Wiki/23_Framework_Crosswalks/15_ISO_IEC_AI_Standards_Crosswalk.html</t>
        </is>
      </c>
    </row>
    <row r="603">
      <c r="A603" s="6" t="inlineStr">
        <is>
          <t>ISO/IEC standards</t>
        </is>
      </c>
      <c r="B603" s="6" t="inlineStr">
        <is>
          <t>ISO/IEC 5259</t>
        </is>
      </c>
      <c r="C603" s="6" t="inlineStr">
        <is>
          <t>ISO/IEC 5259: data quality for analytics and ML</t>
        </is>
      </c>
      <c r="D603" s="6" t="inlineStr">
        <is>
          <t>5259-2, 6</t>
        </is>
      </c>
      <c r="E603" s="6" t="inlineStr">
        <is>
          <t>Data quality characteristics (24, from accuracy and completeness to balance, representativeness and timeliness)</t>
        </is>
      </c>
      <c r="F603" s="6" t="inlineStr">
        <is>
          <t>AI-CTRL-019, AI-CTRL-029</t>
        </is>
      </c>
      <c r="G603" s="6" t="inlineStr">
        <is>
          <t>AI-R05, AI-R08, AI-R17</t>
        </is>
      </c>
      <c r="H603" s="6" t="inlineStr">
        <is>
          <t>Derived via mapped controls</t>
        </is>
      </c>
      <c r="I603" s="6" t="inlineStr"/>
      <c r="J603" s="6" t="inlineStr"/>
      <c r="K603" s="6" t="inlineStr">
        <is>
          <t>https://nachi065.github.io/AI-Security-Wiki/23_Framework_Crosswalks/15_ISO_IEC_AI_Standards_Crosswalk.html</t>
        </is>
      </c>
    </row>
    <row r="604">
      <c r="A604" s="157" t="inlineStr">
        <is>
          <t>ISO/IEC standards</t>
        </is>
      </c>
      <c r="B604" s="157" t="inlineStr">
        <is>
          <t>ISO/IEC 5259</t>
        </is>
      </c>
      <c r="C604" s="157" t="inlineStr">
        <is>
          <t>ISO/IEC 5259: data quality for analytics and ML</t>
        </is>
      </c>
      <c r="D604" s="157" t="inlineStr">
        <is>
          <t>5259-2, 8</t>
        </is>
      </c>
      <c r="E604" s="157" t="inlineStr">
        <is>
          <t>Data quality reporting</t>
        </is>
      </c>
      <c r="F604" s="157" t="inlineStr">
        <is>
          <t>None</t>
        </is>
      </c>
      <c r="G604" s="157" t="inlineStr">
        <is>
          <t>None</t>
        </is>
      </c>
      <c r="H604" s="157" t="inlineStr">
        <is>
          <t>Derived via mapped controls</t>
        </is>
      </c>
      <c r="I604" s="157" t="inlineStr"/>
      <c r="J604" s="157" t="inlineStr">
        <is>
          <t>Where the wiki covers it: Board-Level Reporting in the AI Governance Operating Model</t>
        </is>
      </c>
      <c r="K604" s="157" t="inlineStr">
        <is>
          <t>https://nachi065.github.io/AI-Security-Wiki/23_Framework_Crosswalks/15_ISO_IEC_AI_Standards_Crosswalk.html</t>
        </is>
      </c>
    </row>
    <row r="605">
      <c r="A605" s="6" t="inlineStr">
        <is>
          <t>ISO/IEC standards</t>
        </is>
      </c>
      <c r="B605" s="6" t="inlineStr">
        <is>
          <t>ISO/IEC 5259</t>
        </is>
      </c>
      <c r="C605" s="6" t="inlineStr">
        <is>
          <t>ISO/IEC 5259: data quality for analytics and ML</t>
        </is>
      </c>
      <c r="D605" s="6" t="inlineStr">
        <is>
          <t>5259-3, 9</t>
        </is>
      </c>
      <c r="E605" s="6" t="inlineStr">
        <is>
          <t>Management of data quality in supply chains</t>
        </is>
      </c>
      <c r="F605" s="6" t="inlineStr">
        <is>
          <t>AI-CTRL-014, AI-CTRL-031</t>
        </is>
      </c>
      <c r="G605" s="6" t="inlineStr">
        <is>
          <t>AI-R08, AI-R10, AI-R16, AI-R23</t>
        </is>
      </c>
      <c r="H605" s="6" t="inlineStr">
        <is>
          <t>Derived via mapped controls</t>
        </is>
      </c>
      <c r="I605" s="6" t="inlineStr"/>
      <c r="J605" s="6" t="inlineStr"/>
      <c r="K605" s="6" t="inlineStr">
        <is>
          <t>https://nachi065.github.io/AI-Security-Wiki/23_Framework_Crosswalks/15_ISO_IEC_AI_Standards_Crosswalk.html</t>
        </is>
      </c>
    </row>
    <row r="606">
      <c r="A606" s="157" t="inlineStr">
        <is>
          <t>ISO/IEC standards</t>
        </is>
      </c>
      <c r="B606" s="157" t="inlineStr">
        <is>
          <t>ISO/IEC 5259</t>
        </is>
      </c>
      <c r="C606" s="157" t="inlineStr">
        <is>
          <t>ISO/IEC 5259: data quality for analytics and ML</t>
        </is>
      </c>
      <c r="D606" s="157" t="inlineStr">
        <is>
          <t>5259-3, 12.8</t>
        </is>
      </c>
      <c r="E606" s="157" t="inlineStr">
        <is>
          <t>Data quality justification</t>
        </is>
      </c>
      <c r="F606" s="157" t="inlineStr">
        <is>
          <t>None</t>
        </is>
      </c>
      <c r="G606" s="157" t="inlineStr">
        <is>
          <t>None</t>
        </is>
      </c>
      <c r="H606" s="157" t="inlineStr">
        <is>
          <t>Derived via mapped controls</t>
        </is>
      </c>
      <c r="I606" s="157" t="inlineStr"/>
      <c r="J606" s="157" t="inlineStr">
        <is>
          <t>Where the wiki covers it: TC-L10-033</t>
        </is>
      </c>
      <c r="K606" s="157" t="inlineStr">
        <is>
          <t>https://nachi065.github.io/AI-Security-Wiki/23_Framework_Crosswalks/15_ISO_IEC_AI_Standards_Crosswalk.html</t>
        </is>
      </c>
    </row>
    <row r="607">
      <c r="A607" s="6" t="inlineStr">
        <is>
          <t>ISO/IEC standards</t>
        </is>
      </c>
      <c r="B607" s="6" t="inlineStr">
        <is>
          <t>ISO/IEC 5259</t>
        </is>
      </c>
      <c r="C607" s="6" t="inlineStr">
        <is>
          <t>ISO/IEC 5259: data quality for analytics and ML</t>
        </is>
      </c>
      <c r="D607" s="6" t="inlineStr">
        <is>
          <t>5259-4, 8</t>
        </is>
      </c>
      <c r="E607" s="6" t="inlineStr">
        <is>
          <t>Data labelling methods and process</t>
        </is>
      </c>
      <c r="F607" s="6" t="inlineStr">
        <is>
          <t>AI-CTRL-029</t>
        </is>
      </c>
      <c r="G607" s="6" t="inlineStr">
        <is>
          <t>AI-R08</t>
        </is>
      </c>
      <c r="H607" s="6" t="inlineStr">
        <is>
          <t>Derived via mapped controls</t>
        </is>
      </c>
      <c r="I607" s="6" t="inlineStr"/>
      <c r="J607" s="6" t="inlineStr"/>
      <c r="K607" s="6" t="inlineStr">
        <is>
          <t>https://nachi065.github.io/AI-Security-Wiki/23_Framework_Crosswalks/15_ISO_IEC_AI_Standards_Crosswalk.html</t>
        </is>
      </c>
    </row>
    <row r="608">
      <c r="A608" s="157" t="inlineStr">
        <is>
          <t>ISO/IEC standards</t>
        </is>
      </c>
      <c r="B608" s="157" t="inlineStr">
        <is>
          <t>ISO/IEC 5259</t>
        </is>
      </c>
      <c r="C608" s="157" t="inlineStr">
        <is>
          <t>ISO/IEC 5259: data quality for analytics and ML</t>
        </is>
      </c>
      <c r="D608" s="157" t="inlineStr">
        <is>
          <t>5259-5, 7 and 8</t>
        </is>
      </c>
      <c r="E608" s="157" t="inlineStr">
        <is>
          <t>Responsibilities of the governing body and of management</t>
        </is>
      </c>
      <c r="F608" s="157" t="inlineStr">
        <is>
          <t>None</t>
        </is>
      </c>
      <c r="G608" s="157" t="inlineStr">
        <is>
          <t>None</t>
        </is>
      </c>
      <c r="H608" s="157" t="inlineStr">
        <is>
          <t>Derived via mapped controls</t>
        </is>
      </c>
      <c r="I608" s="157" t="inlineStr"/>
      <c r="J608" s="157" t="inlineStr">
        <is>
          <t>Where the wiki covers it: Data Owner row in the AI Governance Operating Model</t>
        </is>
      </c>
      <c r="K608" s="157" t="inlineStr">
        <is>
          <t>https://nachi065.github.io/AI-Security-Wiki/23_Framework_Crosswalks/15_ISO_IEC_AI_Standards_Crosswalk.html</t>
        </is>
      </c>
    </row>
    <row r="609">
      <c r="A609" s="6" t="inlineStr">
        <is>
          <t>Ethics and principles</t>
        </is>
      </c>
      <c r="B609" s="6" t="inlineStr">
        <is>
          <t>EU Ethics Guidelines</t>
        </is>
      </c>
      <c r="C609" s="6" t="inlineStr">
        <is>
          <t>EU Ethics Guidelines for Trustworthy AI</t>
        </is>
      </c>
      <c r="D609" s="6" t="inlineStr">
        <is>
          <t>Human agency and oversight</t>
        </is>
      </c>
      <c r="E609" s="6" t="inlineStr">
        <is>
          <t>Human agency and oversight</t>
        </is>
      </c>
      <c r="F609" s="6" t="inlineStr">
        <is>
          <t>AI-CTRL-023, AI-CTRL-025, AI-CTRL-045</t>
        </is>
      </c>
      <c r="G609" s="6" t="inlineStr">
        <is>
          <t>AI-R07, AI-R11, AI-R12, AI-R14, AI-R18, AI-R19, AI-R21, AI-R25, AI-R28, AI-R55</t>
        </is>
      </c>
      <c r="H609" s="6" t="inlineStr">
        <is>
          <t>Derived via mapped controls</t>
        </is>
      </c>
      <c r="I609" s="6" t="inlineStr">
        <is>
          <t>Direct</t>
        </is>
      </c>
      <c r="J609" s="6" t="inlineStr">
        <is>
          <t>What the match covers: Oversight design, approval of sensitive actions, and the ability to stop a system.</t>
        </is>
      </c>
      <c r="K609" s="6" t="inlineStr">
        <is>
          <t>https://nachi065.github.io/AI-Security-Wiki/23_Framework_Crosswalks/16_Trustworthy_AI_Ethics_Crosswalk.html</t>
        </is>
      </c>
    </row>
    <row r="610">
      <c r="A610" s="157" t="inlineStr">
        <is>
          <t>Ethics and principles</t>
        </is>
      </c>
      <c r="B610" s="157" t="inlineStr">
        <is>
          <t>EU Ethics Guidelines</t>
        </is>
      </c>
      <c r="C610" s="157" t="inlineStr">
        <is>
          <t>EU Ethics Guidelines for Trustworthy AI</t>
        </is>
      </c>
      <c r="D610" s="157" t="inlineStr">
        <is>
          <t>Technical robustness and safety</t>
        </is>
      </c>
      <c r="E610" s="157" t="inlineStr">
        <is>
          <t>Technical robustness and safety</t>
        </is>
      </c>
      <c r="F610" s="157" t="inlineStr">
        <is>
          <t>AI-CTRL-005, AI-CTRL-028, AI-CTRL-034, AI-CTRL-040</t>
        </is>
      </c>
      <c r="G610" s="157" t="inlineStr">
        <is>
          <t>AI-R05, AI-R06, AI-R07, AI-R08, AI-R13, AI-R16, AI-R17, AI-R20, AI-R24</t>
        </is>
      </c>
      <c r="H610" s="157" t="inlineStr">
        <is>
          <t>Derived via mapped controls</t>
        </is>
      </c>
      <c r="I610" s="157" t="inlineStr">
        <is>
          <t>Direct</t>
        </is>
      </c>
      <c r="J610" s="157" t="inlineStr">
        <is>
          <t>What the match covers: Adversarial testing, fail-safe operation, model and runtime protection.</t>
        </is>
      </c>
      <c r="K610" s="157" t="inlineStr">
        <is>
          <t>https://nachi065.github.io/AI-Security-Wiki/23_Framework_Crosswalks/16_Trustworthy_AI_Ethics_Crosswalk.html</t>
        </is>
      </c>
    </row>
    <row r="611">
      <c r="A611" s="6" t="inlineStr">
        <is>
          <t>Ethics and principles</t>
        </is>
      </c>
      <c r="B611" s="6" t="inlineStr">
        <is>
          <t>EU Ethics Guidelines</t>
        </is>
      </c>
      <c r="C611" s="6" t="inlineStr">
        <is>
          <t>EU Ethics Guidelines for Trustworthy AI</t>
        </is>
      </c>
      <c r="D611" s="6" t="inlineStr">
        <is>
          <t>Privacy and data governance</t>
        </is>
      </c>
      <c r="E611" s="6" t="inlineStr">
        <is>
          <t>Privacy and data governance</t>
        </is>
      </c>
      <c r="F611" s="6" t="inlineStr">
        <is>
          <t>AI-CTRL-013, AI-CTRL-017, AI-CTRL-029</t>
        </is>
      </c>
      <c r="G611" s="6" t="inlineStr">
        <is>
          <t>AI-R01, AI-R03, AI-R06, AI-R08, AI-R10, AI-R17, AI-R27, AI-R28</t>
        </is>
      </c>
      <c r="H611" s="6" t="inlineStr">
        <is>
          <t>Derived via mapped controls</t>
        </is>
      </c>
      <c r="I611" s="6" t="inlineStr">
        <is>
          <t>Direct</t>
        </is>
      </c>
      <c r="J611" s="6" t="inlineStr">
        <is>
          <t>What the match covers: Privacy compliance, data protection in pipelines, data provenance and quality.</t>
        </is>
      </c>
      <c r="K611" s="6" t="inlineStr">
        <is>
          <t>https://nachi065.github.io/AI-Security-Wiki/23_Framework_Crosswalks/16_Trustworthy_AI_Ethics_Crosswalk.html</t>
        </is>
      </c>
    </row>
    <row r="612">
      <c r="A612" s="157" t="inlineStr">
        <is>
          <t>Ethics and principles</t>
        </is>
      </c>
      <c r="B612" s="157" t="inlineStr">
        <is>
          <t>EU Ethics Guidelines</t>
        </is>
      </c>
      <c r="C612" s="157" t="inlineStr">
        <is>
          <t>EU Ethics Guidelines for Trustworthy AI</t>
        </is>
      </c>
      <c r="D612" s="157" t="inlineStr">
        <is>
          <t>Transparency</t>
        </is>
      </c>
      <c r="E612" s="157" t="inlineStr">
        <is>
          <t>Transparency</t>
        </is>
      </c>
      <c r="F612" s="157" t="inlineStr">
        <is>
          <t>AI-CTRL-008, AI-CTRL-039, AI-CTRL-041</t>
        </is>
      </c>
      <c r="G612" s="157" t="inlineStr">
        <is>
          <t>AI-R09, AI-R12, AI-R14, AI-R15, AI-R20, AI-R26</t>
        </is>
      </c>
      <c r="H612" s="157" t="inlineStr">
        <is>
          <t>Derived via mapped controls</t>
        </is>
      </c>
      <c r="I612" s="157" t="inlineStr">
        <is>
          <t>Partial</t>
        </is>
      </c>
      <c r="J612" s="157" t="inlineStr">
        <is>
          <t>What the match covers: Explanations, grounded output and audit trails. Telling people they are dealing with AI is covered by the regional templates where a law requires it.</t>
        </is>
      </c>
      <c r="K612" s="157" t="inlineStr">
        <is>
          <t>https://nachi065.github.io/AI-Security-Wiki/23_Framework_Crosswalks/16_Trustworthy_AI_Ethics_Crosswalk.html</t>
        </is>
      </c>
    </row>
    <row r="613">
      <c r="A613" s="6" t="inlineStr">
        <is>
          <t>Ethics and principles</t>
        </is>
      </c>
      <c r="B613" s="6" t="inlineStr">
        <is>
          <t>EU Ethics Guidelines</t>
        </is>
      </c>
      <c r="C613" s="6" t="inlineStr">
        <is>
          <t>EU Ethics Guidelines for Trustworthy AI</t>
        </is>
      </c>
      <c r="D613" s="6" t="inlineStr">
        <is>
          <t>Diversity, non-discrimination and fairness</t>
        </is>
      </c>
      <c r="E613" s="6" t="inlineStr">
        <is>
          <t>Diversity, non-discrimination and fairness</t>
        </is>
      </c>
      <c r="F613" s="6" t="inlineStr">
        <is>
          <t>AI-CTRL-041</t>
        </is>
      </c>
      <c r="G613" s="6" t="inlineStr">
        <is>
          <t>AI-R12, AI-R14, AI-R15</t>
        </is>
      </c>
      <c r="H613" s="6" t="inlineStr">
        <is>
          <t>Derived via mapped controls</t>
        </is>
      </c>
      <c r="I613" s="6" t="inlineStr">
        <is>
          <t>Partial</t>
        </is>
      </c>
      <c r="J613" s="6" t="inlineStr">
        <is>
          <t>What the match covers: Bias testing and bias profiles. Accessibility for people with disabilities is not covered.</t>
        </is>
      </c>
      <c r="K613" s="6" t="inlineStr">
        <is>
          <t>https://nachi065.github.io/AI-Security-Wiki/23_Framework_Crosswalks/16_Trustworthy_AI_Ethics_Crosswalk.html</t>
        </is>
      </c>
    </row>
    <row r="614">
      <c r="A614" s="157" t="inlineStr">
        <is>
          <t>Ethics and principles</t>
        </is>
      </c>
      <c r="B614" s="157" t="inlineStr">
        <is>
          <t>EU Ethics Guidelines</t>
        </is>
      </c>
      <c r="C614" s="157" t="inlineStr">
        <is>
          <t>EU Ethics Guidelines for Trustworthy AI</t>
        </is>
      </c>
      <c r="D614" s="157" t="inlineStr">
        <is>
          <t>Societal and environmental well-being</t>
        </is>
      </c>
      <c r="E614" s="157" t="inlineStr">
        <is>
          <t>Societal and environmental well-being</t>
        </is>
      </c>
      <c r="F614" s="157" t="inlineStr">
        <is>
          <t>None</t>
        </is>
      </c>
      <c r="G614" s="157" t="inlineStr">
        <is>
          <t>None</t>
        </is>
      </c>
      <c r="H614" s="157" t="inlineStr">
        <is>
          <t>Derived via mapped controls</t>
        </is>
      </c>
      <c r="I614" s="157" t="inlineStr">
        <is>
          <t>None</t>
        </is>
      </c>
      <c r="J614" s="157" t="inlineStr">
        <is>
          <t>Main wiki controls: None; What the match covers: The wiki has no control for societal or environmental effects. See Well-being and societal impact.</t>
        </is>
      </c>
      <c r="K614" s="157" t="inlineStr">
        <is>
          <t>https://nachi065.github.io/AI-Security-Wiki/23_Framework_Crosswalks/16_Trustworthy_AI_Ethics_Crosswalk.html</t>
        </is>
      </c>
    </row>
    <row r="615">
      <c r="A615" s="6" t="inlineStr">
        <is>
          <t>Ethics and principles</t>
        </is>
      </c>
      <c r="B615" s="6" t="inlineStr">
        <is>
          <t>EU Ethics Guidelines</t>
        </is>
      </c>
      <c r="C615" s="6" t="inlineStr">
        <is>
          <t>EU Ethics Guidelines for Trustworthy AI</t>
        </is>
      </c>
      <c r="D615" s="6" t="inlineStr">
        <is>
          <t>Accountability</t>
        </is>
      </c>
      <c r="E615" s="6" t="inlineStr">
        <is>
          <t>Accountability</t>
        </is>
      </c>
      <c r="F615" s="6" t="inlineStr">
        <is>
          <t>AI-CTRL-008, AI-CTRL-012, AI-CTRL-037, AI-CTRL-038</t>
        </is>
      </c>
      <c r="G615" s="6" t="inlineStr">
        <is>
          <t>AI-R02, AI-R03, AI-R09, AI-R15, AI-R18, AI-R19, AI-R26, AI-R27, AI-R28, AI-R55</t>
        </is>
      </c>
      <c r="H615" s="6" t="inlineStr">
        <is>
          <t>Derived via mapped controls</t>
        </is>
      </c>
      <c r="I615" s="6" t="inlineStr">
        <is>
          <t>Direct</t>
        </is>
      </c>
      <c r="J615" s="6" t="inlineStr">
        <is>
          <t>What the match covers: Roles, risk assessment, audit evidence and redress through human review.</t>
        </is>
      </c>
      <c r="K615" s="6" t="inlineStr">
        <is>
          <t>https://nachi065.github.io/AI-Security-Wiki/23_Framework_Crosswalks/16_Trustworthy_AI_Ethics_Crosswalk.html</t>
        </is>
      </c>
    </row>
    <row r="616">
      <c r="A616" s="157" t="inlineStr">
        <is>
          <t>Ethics and principles</t>
        </is>
      </c>
      <c r="B616" s="157" t="inlineStr">
        <is>
          <t>UNESCO Recommendation</t>
        </is>
      </c>
      <c r="C616" s="157" t="inlineStr">
        <is>
          <t>UNESCO Recommendation on the Ethics of Artificial Intelligence</t>
        </is>
      </c>
      <c r="D616" s="157" t="inlineStr">
        <is>
          <t>Proportionality and do no harm</t>
        </is>
      </c>
      <c r="E616" s="157" t="inlineStr"/>
      <c r="F616" s="157" t="inlineStr">
        <is>
          <t>AI-CTRL-037, AI-CTRL-042</t>
        </is>
      </c>
      <c r="G616" s="157" t="inlineStr">
        <is>
          <t>AI-R02, AI-R10, AI-R12, AI-R18, AI-R28, AI-R55</t>
        </is>
      </c>
      <c r="H616" s="157" t="inlineStr">
        <is>
          <t>Derived via mapped controls</t>
        </is>
      </c>
      <c r="I616" s="157" t="inlineStr">
        <is>
          <t>Partial</t>
        </is>
      </c>
      <c r="J616" s="157" t="inlineStr"/>
      <c r="K616" s="157" t="inlineStr">
        <is>
          <t>https://nachi065.github.io/AI-Security-Wiki/23_Framework_Crosswalks/16_Trustworthy_AI_Ethics_Crosswalk.html</t>
        </is>
      </c>
    </row>
    <row r="617">
      <c r="A617" s="6" t="inlineStr">
        <is>
          <t>Ethics and principles</t>
        </is>
      </c>
      <c r="B617" s="6" t="inlineStr">
        <is>
          <t>UNESCO Recommendation</t>
        </is>
      </c>
      <c r="C617" s="6" t="inlineStr">
        <is>
          <t>UNESCO Recommendation on the Ethics of Artificial Intelligence</t>
        </is>
      </c>
      <c r="D617" s="6" t="inlineStr">
        <is>
          <t>Safety and security</t>
        </is>
      </c>
      <c r="E617" s="6" t="inlineStr"/>
      <c r="F617" s="6" t="inlineStr">
        <is>
          <t>AI-CTRL-005, AI-CTRL-034, AI-CTRL-040</t>
        </is>
      </c>
      <c r="G617" s="6" t="inlineStr">
        <is>
          <t>AI-R05, AI-R06, AI-R07, AI-R13, AI-R16, AI-R17, AI-R20, AI-R24</t>
        </is>
      </c>
      <c r="H617" s="6" t="inlineStr">
        <is>
          <t>Derived via mapped controls</t>
        </is>
      </c>
      <c r="I617" s="6" t="inlineStr">
        <is>
          <t>Direct</t>
        </is>
      </c>
      <c r="J617" s="6" t="inlineStr"/>
      <c r="K617" s="6" t="inlineStr">
        <is>
          <t>https://nachi065.github.io/AI-Security-Wiki/23_Framework_Crosswalks/16_Trustworthy_AI_Ethics_Crosswalk.html</t>
        </is>
      </c>
    </row>
    <row r="618">
      <c r="A618" s="157" t="inlineStr">
        <is>
          <t>Ethics and principles</t>
        </is>
      </c>
      <c r="B618" s="157" t="inlineStr">
        <is>
          <t>UNESCO Recommendation</t>
        </is>
      </c>
      <c r="C618" s="157" t="inlineStr">
        <is>
          <t>UNESCO Recommendation on the Ethics of Artificial Intelligence</t>
        </is>
      </c>
      <c r="D618" s="157" t="inlineStr">
        <is>
          <t>Right to privacy and data protection</t>
        </is>
      </c>
      <c r="E618" s="157" t="inlineStr"/>
      <c r="F618" s="157" t="inlineStr">
        <is>
          <t>AI-CTRL-013, AI-CTRL-017</t>
        </is>
      </c>
      <c r="G618" s="157" t="inlineStr">
        <is>
          <t>AI-R01, AI-R03, AI-R06, AI-R10, AI-R17, AI-R27, AI-R28</t>
        </is>
      </c>
      <c r="H618" s="157" t="inlineStr">
        <is>
          <t>Derived via mapped controls</t>
        </is>
      </c>
      <c r="I618" s="157" t="inlineStr">
        <is>
          <t>Direct</t>
        </is>
      </c>
      <c r="J618" s="157" t="inlineStr"/>
      <c r="K618" s="157" t="inlineStr">
        <is>
          <t>https://nachi065.github.io/AI-Security-Wiki/23_Framework_Crosswalks/16_Trustworthy_AI_Ethics_Crosswalk.html</t>
        </is>
      </c>
    </row>
    <row r="619">
      <c r="A619" s="6" t="inlineStr">
        <is>
          <t>Ethics and principles</t>
        </is>
      </c>
      <c r="B619" s="6" t="inlineStr">
        <is>
          <t>UNESCO Recommendation</t>
        </is>
      </c>
      <c r="C619" s="6" t="inlineStr">
        <is>
          <t>UNESCO Recommendation on the Ethics of Artificial Intelligence</t>
        </is>
      </c>
      <c r="D619" s="6" t="inlineStr">
        <is>
          <t>Multi-stakeholder and adaptive governance ...</t>
        </is>
      </c>
      <c r="E619" s="6" t="inlineStr"/>
      <c r="F619" s="6" t="inlineStr">
        <is>
          <t>AI-CTRL-012, AI-CTRL-043</t>
        </is>
      </c>
      <c r="G619" s="6" t="inlineStr">
        <is>
          <t>AI-R02, AI-R03, AI-R09, AI-R10, AI-R18, AI-R19, AI-R27, AI-R28</t>
        </is>
      </c>
      <c r="H619" s="6" t="inlineStr">
        <is>
          <t>Derived via mapped controls</t>
        </is>
      </c>
      <c r="I619" s="6" t="inlineStr">
        <is>
          <t>Partial</t>
        </is>
      </c>
      <c r="J619" s="6" t="inlineStr"/>
      <c r="K619" s="6" t="inlineStr">
        <is>
          <t>https://nachi065.github.io/AI-Security-Wiki/23_Framework_Crosswalks/16_Trustworthy_AI_Ethics_Crosswalk.html</t>
        </is>
      </c>
    </row>
    <row r="620">
      <c r="A620" s="157" t="inlineStr">
        <is>
          <t>Ethics and principles</t>
        </is>
      </c>
      <c r="B620" s="157" t="inlineStr">
        <is>
          <t>UNESCO Recommendation</t>
        </is>
      </c>
      <c r="C620" s="157" t="inlineStr">
        <is>
          <t>UNESCO Recommendation on the Ethics of Artificial Intelligence</t>
        </is>
      </c>
      <c r="D620" s="157" t="inlineStr">
        <is>
          <t>Responsibility and accountability</t>
        </is>
      </c>
      <c r="E620" s="157" t="inlineStr"/>
      <c r="F620" s="157" t="inlineStr">
        <is>
          <t>AI-CTRL-012, AI-CTRL-038</t>
        </is>
      </c>
      <c r="G620" s="157" t="inlineStr">
        <is>
          <t>AI-R02, AI-R03, AI-R09, AI-R15, AI-R18, AI-R19, AI-R27, AI-R28</t>
        </is>
      </c>
      <c r="H620" s="157" t="inlineStr">
        <is>
          <t>Derived via mapped controls</t>
        </is>
      </c>
      <c r="I620" s="157" t="inlineStr">
        <is>
          <t>Direct</t>
        </is>
      </c>
      <c r="J620" s="157" t="inlineStr"/>
      <c r="K620" s="157" t="inlineStr">
        <is>
          <t>https://nachi065.github.io/AI-Security-Wiki/23_Framework_Crosswalks/16_Trustworthy_AI_Ethics_Crosswalk.html</t>
        </is>
      </c>
    </row>
    <row r="621">
      <c r="A621" s="6" t="inlineStr">
        <is>
          <t>Ethics and principles</t>
        </is>
      </c>
      <c r="B621" s="6" t="inlineStr">
        <is>
          <t>UNESCO Recommendation</t>
        </is>
      </c>
      <c r="C621" s="6" t="inlineStr">
        <is>
          <t>UNESCO Recommendation on the Ethics of Artificial Intelligence</t>
        </is>
      </c>
      <c r="D621" s="6" t="inlineStr">
        <is>
          <t>Transparency and explainability</t>
        </is>
      </c>
      <c r="E621" s="6" t="inlineStr"/>
      <c r="F621" s="6" t="inlineStr">
        <is>
          <t>AI-CTRL-039, AI-CTRL-041</t>
        </is>
      </c>
      <c r="G621" s="6" t="inlineStr">
        <is>
          <t>AI-R12, AI-R14, AI-R15, AI-R20</t>
        </is>
      </c>
      <c r="H621" s="6" t="inlineStr">
        <is>
          <t>Derived via mapped controls</t>
        </is>
      </c>
      <c r="I621" s="6" t="inlineStr">
        <is>
          <t>Partial</t>
        </is>
      </c>
      <c r="J621" s="6" t="inlineStr"/>
      <c r="K621" s="6" t="inlineStr">
        <is>
          <t>https://nachi065.github.io/AI-Security-Wiki/23_Framework_Crosswalks/16_Trustworthy_AI_Ethics_Crosswalk.html</t>
        </is>
      </c>
    </row>
    <row r="622">
      <c r="A622" s="157" t="inlineStr">
        <is>
          <t>Ethics and principles</t>
        </is>
      </c>
      <c r="B622" s="157" t="inlineStr">
        <is>
          <t>UNESCO Recommendation</t>
        </is>
      </c>
      <c r="C622" s="157" t="inlineStr">
        <is>
          <t>UNESCO Recommendation on the Ethics of Artificial Intelligence</t>
        </is>
      </c>
      <c r="D622" s="157" t="inlineStr">
        <is>
          <t>Human oversight and determination</t>
        </is>
      </c>
      <c r="E622" s="157" t="inlineStr"/>
      <c r="F622" s="157" t="inlineStr">
        <is>
          <t>AI-CTRL-023, AI-CTRL-045</t>
        </is>
      </c>
      <c r="G622" s="157" t="inlineStr">
        <is>
          <t>AI-R07, AI-R12, AI-R14, AI-R18, AI-R19, AI-R28</t>
        </is>
      </c>
      <c r="H622" s="157" t="inlineStr">
        <is>
          <t>Derived via mapped controls</t>
        </is>
      </c>
      <c r="I622" s="157" t="inlineStr">
        <is>
          <t>Direct</t>
        </is>
      </c>
      <c r="J622" s="157" t="inlineStr"/>
      <c r="K622" s="157" t="inlineStr">
        <is>
          <t>https://nachi065.github.io/AI-Security-Wiki/23_Framework_Crosswalks/16_Trustworthy_AI_Ethics_Crosswalk.html</t>
        </is>
      </c>
    </row>
    <row r="623">
      <c r="A623" s="6" t="inlineStr">
        <is>
          <t>Ethics and principles</t>
        </is>
      </c>
      <c r="B623" s="6" t="inlineStr">
        <is>
          <t>UNESCO Recommendation</t>
        </is>
      </c>
      <c r="C623" s="6" t="inlineStr">
        <is>
          <t>UNESCO Recommendation on the Ethics of Artificial Intelligence</t>
        </is>
      </c>
      <c r="D623" s="6" t="inlineStr">
        <is>
          <t>Sustainability</t>
        </is>
      </c>
      <c r="E623" s="6" t="inlineStr">
        <is>
          <t>None</t>
        </is>
      </c>
      <c r="F623" s="6" t="inlineStr">
        <is>
          <t>None</t>
        </is>
      </c>
      <c r="G623" s="6" t="inlineStr">
        <is>
          <t>None</t>
        </is>
      </c>
      <c r="H623" s="6" t="inlineStr">
        <is>
          <t>Derived via mapped controls</t>
        </is>
      </c>
      <c r="I623" s="6" t="inlineStr">
        <is>
          <t>None</t>
        </is>
      </c>
      <c r="J623" s="6" t="inlineStr"/>
      <c r="K623" s="6" t="inlineStr">
        <is>
          <t>https://nachi065.github.io/AI-Security-Wiki/23_Framework_Crosswalks/16_Trustworthy_AI_Ethics_Crosswalk.html</t>
        </is>
      </c>
    </row>
    <row r="624">
      <c r="A624" s="157" t="inlineStr">
        <is>
          <t>Ethics and principles</t>
        </is>
      </c>
      <c r="B624" s="157" t="inlineStr">
        <is>
          <t>UNESCO Recommendation</t>
        </is>
      </c>
      <c r="C624" s="157" t="inlineStr">
        <is>
          <t>UNESCO Recommendation on the Ethics of Artificial Intelligence</t>
        </is>
      </c>
      <c r="D624" s="157" t="inlineStr">
        <is>
          <t>Awareness and literacy</t>
        </is>
      </c>
      <c r="E624" s="157" t="inlineStr"/>
      <c r="F624" s="157" t="inlineStr">
        <is>
          <t>AI-CTRL-044</t>
        </is>
      </c>
      <c r="G624" s="157" t="inlineStr">
        <is>
          <t>AI-R02, AI-R19</t>
        </is>
      </c>
      <c r="H624" s="157" t="inlineStr">
        <is>
          <t>Derived via mapped controls</t>
        </is>
      </c>
      <c r="I624" s="157" t="inlineStr">
        <is>
          <t>Direct</t>
        </is>
      </c>
      <c r="J624" s="157" t="inlineStr"/>
      <c r="K624" s="157" t="inlineStr">
        <is>
          <t>https://nachi065.github.io/AI-Security-Wiki/23_Framework_Crosswalks/16_Trustworthy_AI_Ethics_Crosswalk.html</t>
        </is>
      </c>
    </row>
    <row r="625">
      <c r="A625" s="6" t="inlineStr">
        <is>
          <t>Ethics and principles</t>
        </is>
      </c>
      <c r="B625" s="6" t="inlineStr">
        <is>
          <t>UNESCO Recommendation</t>
        </is>
      </c>
      <c r="C625" s="6" t="inlineStr">
        <is>
          <t>UNESCO Recommendation on the Ethics of Artificial Intelligence</t>
        </is>
      </c>
      <c r="D625" s="6" t="inlineStr">
        <is>
          <t>Fairness and non-discrimination</t>
        </is>
      </c>
      <c r="E625" s="6" t="inlineStr"/>
      <c r="F625" s="6" t="inlineStr">
        <is>
          <t>AI-CTRL-041</t>
        </is>
      </c>
      <c r="G625" s="6" t="inlineStr">
        <is>
          <t>AI-R12, AI-R14, AI-R15</t>
        </is>
      </c>
      <c r="H625" s="6" t="inlineStr">
        <is>
          <t>Derived via mapped controls</t>
        </is>
      </c>
      <c r="I625" s="6" t="inlineStr">
        <is>
          <t>Partial</t>
        </is>
      </c>
      <c r="J625" s="6" t="inlineStr"/>
      <c r="K625" s="6" t="inlineStr">
        <is>
          <t>https://nachi065.github.io/AI-Security-Wiki/23_Framework_Crosswalks/16_Trustworthy_AI_Ethics_Crosswalk.html</t>
        </is>
      </c>
    </row>
    <row r="626">
      <c r="A626" s="157" t="inlineStr">
        <is>
          <t>Ethics and principles</t>
        </is>
      </c>
      <c r="B626" s="157" t="inlineStr">
        <is>
          <t>IEEE 7000-series</t>
        </is>
      </c>
      <c r="C626" s="157" t="inlineStr">
        <is>
          <t>IEEE 7000-series standards</t>
        </is>
      </c>
      <c r="D626" s="157" t="inlineStr">
        <is>
          <t>IEEE 7000-2021</t>
        </is>
      </c>
      <c r="E626" s="157" t="inlineStr">
        <is>
          <t>Processes to elicit and prioritise stakeholders' ethical values and keep them traceable into design</t>
        </is>
      </c>
      <c r="F626" s="157" t="inlineStr">
        <is>
          <t>AI-CTRL-033, AI-CTRL-042</t>
        </is>
      </c>
      <c r="G626" s="157" t="inlineStr">
        <is>
          <t>AI-R05, AI-R07, AI-R08, AI-R10, AI-R12, AI-R14, AI-R16, AI-R28, AI-R55</t>
        </is>
      </c>
      <c r="H626" s="157" t="inlineStr">
        <is>
          <t>Derived via mapped controls</t>
        </is>
      </c>
      <c r="I626" s="157" t="inlineStr">
        <is>
          <t>Partial: the wiki has no step for eliciting stakeholder values at inception.</t>
        </is>
      </c>
      <c r="J626" s="157" t="inlineStr">
        <is>
          <t>Structure from public sources: Clause 7 concept of operations and context exploration; 8 ethical values elicitation and prioritization; 9 ethical requirements definition; 10 ethical risk-based design; 11 transparency management (source: ESE practices notes)</t>
        </is>
      </c>
      <c r="K626" s="157" t="inlineStr">
        <is>
          <t>https://nachi065.github.io/AI-Security-Wiki/23_Framework_Crosswalks/16_Trustworthy_AI_Ethics_Crosswalk.html</t>
        </is>
      </c>
    </row>
    <row r="627">
      <c r="A627" s="6" t="inlineStr">
        <is>
          <t>Ethics and principles</t>
        </is>
      </c>
      <c r="B627" s="6" t="inlineStr">
        <is>
          <t>IEEE 7000-series</t>
        </is>
      </c>
      <c r="C627" s="6" t="inlineStr">
        <is>
          <t>IEEE 7000-series standards</t>
        </is>
      </c>
      <c r="D627" s="6" t="inlineStr">
        <is>
          <t>IEEE 7001-2021</t>
        </is>
      </c>
      <c r="E627" s="6" t="inlineStr">
        <is>
          <t>Measurable, testable levels of transparency</t>
        </is>
      </c>
      <c r="F627" s="6" t="inlineStr">
        <is>
          <t>AI-CTRL-008, AI-CTRL-035, AI-CTRL-039, AI-CTRL-041</t>
        </is>
      </c>
      <c r="G627" s="6" t="inlineStr">
        <is>
          <t>AI-R09, AI-R12, AI-R14, AI-R15, AI-R20, AI-R26</t>
        </is>
      </c>
      <c r="H627" s="6" t="inlineStr">
        <is>
          <t>Derived via mapped controls</t>
        </is>
      </c>
      <c r="I627" s="6" t="inlineStr">
        <is>
          <t>Partial: the wiki does not set a target transparency level for each audience. The draft's investigator levels (timestamped logs, decision logs, logged reasons) correspond to AI-CTRL-008.</t>
        </is>
      </c>
      <c r="J627" s="6" t="inlineStr">
        <is>
          <t>Structure from public sources: In the draft: five stakeholder groups (end users; general public and bystanders; safety certification agencies; incident and accident investigators; lawyers and expert witnesses), each with levels 0 to 5, and two processes, a system transparency assessment and a system transparency specification (source: Winfield et al. 2021, describing draft P7001/D1)</t>
        </is>
      </c>
      <c r="K627" s="6" t="inlineStr">
        <is>
          <t>https://nachi065.github.io/AI-Security-Wiki/23_Framework_Crosswalks/16_Trustworthy_AI_Ethics_Crosswalk.html</t>
        </is>
      </c>
    </row>
    <row r="628">
      <c r="A628" s="157" t="inlineStr">
        <is>
          <t>Ethics and principles</t>
        </is>
      </c>
      <c r="B628" s="157" t="inlineStr">
        <is>
          <t>IEEE 7000-series</t>
        </is>
      </c>
      <c r="C628" s="157" t="inlineStr">
        <is>
          <t>IEEE 7000-series standards</t>
        </is>
      </c>
      <c r="D628" s="157" t="inlineStr">
        <is>
          <t>IEEE 7002-2022</t>
        </is>
      </c>
      <c r="E628" s="157" t="inlineStr">
        <is>
          <t>Engineering process requirements for privacy in systems that use personal data, with privacy impact assessments and conformity checklists</t>
        </is>
      </c>
      <c r="F628" s="157" t="inlineStr">
        <is>
          <t>AI-CTRL-013, AI-CTRL-017, AI-CTRL-042</t>
        </is>
      </c>
      <c r="G628" s="157" t="inlineStr">
        <is>
          <t>AI-R01, AI-R03, AI-R06, AI-R10, AI-R12, AI-R17, AI-R27, AI-R28</t>
        </is>
      </c>
      <c r="H628" s="157" t="inlineStr">
        <is>
          <t>Derived via mapped controls</t>
        </is>
      </c>
      <c r="I628" s="157" t="inlineStr">
        <is>
          <t>Partial</t>
        </is>
      </c>
      <c r="J628" s="157" t="inlineStr">
        <is>
          <t>Structure from public sources: Not found in public sources</t>
        </is>
      </c>
      <c r="K628" s="157" t="inlineStr">
        <is>
          <t>https://nachi065.github.io/AI-Security-Wiki/23_Framework_Crosswalks/16_Trustworthy_AI_Ethics_Crosswalk.html</t>
        </is>
      </c>
    </row>
    <row r="629">
      <c r="A629" s="6" t="inlineStr">
        <is>
          <t>Ethics and principles</t>
        </is>
      </c>
      <c r="B629" s="6" t="inlineStr">
        <is>
          <t>IEEE 7000-series</t>
        </is>
      </c>
      <c r="C629" s="6" t="inlineStr">
        <is>
          <t>IEEE 7000-series standards</t>
        </is>
      </c>
      <c r="D629" s="6" t="inlineStr">
        <is>
          <t>IEEE 7003-2024</t>
        </is>
      </c>
      <c r="E629" s="6" t="inlineStr">
        <is>
          <t>Criteria for validation datasets for bias quality control; defining and communicating an algorithm's validated application boundaries; managing user expectations</t>
        </is>
      </c>
      <c r="F629" s="6" t="inlineStr">
        <is>
          <t>AI-CTRL-041</t>
        </is>
      </c>
      <c r="G629" s="6" t="inlineStr">
        <is>
          <t>AI-R12, AI-R14, AI-R15</t>
        </is>
      </c>
      <c r="H629" s="6" t="inlineStr">
        <is>
          <t>Derived via mapped controls</t>
        </is>
      </c>
      <c r="I629" s="6" t="inlineStr">
        <is>
          <t>Direct</t>
        </is>
      </c>
      <c r="J629" s="6" t="inlineStr">
        <is>
          <t>Structure from public sources: Clause 4 requirements and boundaries; 5 bias profile; 6 stakeholder identification; 7 data representation; 8 risk and impact assessment; 9.2 design and output evaluation; 9.3 ongoing evaluation (source: Modulos framework notes, which paraphrase the headings)</t>
        </is>
      </c>
      <c r="K629" s="6" t="inlineStr">
        <is>
          <t>https://nachi065.github.io/AI-Security-Wiki/23_Framework_Crosswalks/16_Trustworthy_AI_Ethics_Crosswalk.html</t>
        </is>
      </c>
    </row>
    <row r="630">
      <c r="A630" s="157" t="inlineStr">
        <is>
          <t>Ethics and principles</t>
        </is>
      </c>
      <c r="B630" s="157" t="inlineStr">
        <is>
          <t>IEEE 7000-series</t>
        </is>
      </c>
      <c r="C630" s="157" t="inlineStr">
        <is>
          <t>IEEE 7000-series standards</t>
        </is>
      </c>
      <c r="D630" s="157" t="inlineStr">
        <is>
          <t>IEEE 7010-2020</t>
        </is>
      </c>
      <c r="E630" s="157" t="inlineStr">
        <is>
          <t>Well-being impact assessment based on established well-being indicators and stakeholder engagement</t>
        </is>
      </c>
      <c r="F630" s="157" t="inlineStr">
        <is>
          <t>None</t>
        </is>
      </c>
      <c r="G630" s="157" t="inlineStr">
        <is>
          <t>None</t>
        </is>
      </c>
      <c r="H630" s="157" t="inlineStr">
        <is>
          <t>Derived via mapped controls</t>
        </is>
      </c>
      <c r="I630" s="157" t="inlineStr">
        <is>
          <t>None</t>
        </is>
      </c>
      <c r="J630" s="157" t="inlineStr">
        <is>
          <t>Structure from public sources: Five activities: internal analysis and stakeholder engagement; a well-being indicator dashboard; data planning and collection; data analysis and improvement; iteration (source: Schiff et al., working group members); Main wiki controls: None</t>
        </is>
      </c>
      <c r="K630" s="157" t="inlineStr">
        <is>
          <t>https://nachi065.github.io/AI-Security-Wiki/23_Framework_Crosswalks/16_Trustworthy_AI_Ethics_Crosswalk.html</t>
        </is>
      </c>
    </row>
    <row r="631">
      <c r="A631" s="6" t="inlineStr">
        <is>
          <t>International instruments</t>
        </is>
      </c>
      <c r="B631" s="6" t="inlineStr">
        <is>
          <t>Council of Europe AI Convention</t>
        </is>
      </c>
      <c r="C631" s="6" t="inlineStr">
        <is>
          <t>Council of Europe Framework Convention on Artificial Intelligence and Human Rights, Democracy and the Rule of Law (CETS No. 225)</t>
        </is>
      </c>
      <c r="D631" s="6" t="inlineStr">
        <is>
          <t>Art. 7</t>
        </is>
      </c>
      <c r="E631" s="6" t="inlineStr">
        <is>
          <t>Human dignity and individual autonomy</t>
        </is>
      </c>
      <c r="F631" s="6" t="inlineStr">
        <is>
          <t>AI-CTRL-042, AI-CTRL-045</t>
        </is>
      </c>
      <c r="G631" s="6" t="inlineStr">
        <is>
          <t>AI-R07, AI-R10, AI-R12, AI-R14, AI-R18, AI-R19, AI-R28</t>
        </is>
      </c>
      <c r="H631" s="6" t="inlineStr">
        <is>
          <t>Derived via mapped controls</t>
        </is>
      </c>
      <c r="I631" s="6" t="inlineStr"/>
      <c r="J631" s="6" t="inlineStr"/>
      <c r="K631" s="6" t="inlineStr">
        <is>
          <t>https://nachi065.github.io/AI-Security-Wiki/23_Framework_Crosswalks/17_International_AI_Instruments_Crosswalk.html</t>
        </is>
      </c>
    </row>
    <row r="632">
      <c r="A632" s="157" t="inlineStr">
        <is>
          <t>International instruments</t>
        </is>
      </c>
      <c r="B632" s="157" t="inlineStr">
        <is>
          <t>Council of Europe AI Convention</t>
        </is>
      </c>
      <c r="C632" s="157" t="inlineStr">
        <is>
          <t>Council of Europe Framework Convention on Artificial Intelligence and Human Rights, Democracy and the Rule of Law (CETS No. 225)</t>
        </is>
      </c>
      <c r="D632" s="157" t="inlineStr">
        <is>
          <t>Art. 8</t>
        </is>
      </c>
      <c r="E632" s="157" t="inlineStr">
        <is>
          <t>Transparency and oversight</t>
        </is>
      </c>
      <c r="F632" s="157" t="inlineStr">
        <is>
          <t>AI-CTRL-039, AI-CTRL-045</t>
        </is>
      </c>
      <c r="G632" s="157" t="inlineStr">
        <is>
          <t>AI-R07, AI-R12, AI-R14, AI-R18, AI-R19, AI-R20, AI-R28</t>
        </is>
      </c>
      <c r="H632" s="157" t="inlineStr">
        <is>
          <t>Derived via mapped controls</t>
        </is>
      </c>
      <c r="I632" s="157" t="inlineStr"/>
      <c r="J632" s="157" t="inlineStr"/>
      <c r="K632" s="157" t="inlineStr">
        <is>
          <t>https://nachi065.github.io/AI-Security-Wiki/23_Framework_Crosswalks/17_International_AI_Instruments_Crosswalk.html</t>
        </is>
      </c>
    </row>
    <row r="633">
      <c r="A633" s="6" t="inlineStr">
        <is>
          <t>International instruments</t>
        </is>
      </c>
      <c r="B633" s="6" t="inlineStr">
        <is>
          <t>Council of Europe AI Convention</t>
        </is>
      </c>
      <c r="C633" s="6" t="inlineStr">
        <is>
          <t>Council of Europe Framework Convention on Artificial Intelligence and Human Rights, Democracy and the Rule of Law (CETS No. 225)</t>
        </is>
      </c>
      <c r="D633" s="6" t="inlineStr">
        <is>
          <t>Art. 9</t>
        </is>
      </c>
      <c r="E633" s="6" t="inlineStr">
        <is>
          <t>Accountability and responsibility</t>
        </is>
      </c>
      <c r="F633" s="6" t="inlineStr">
        <is>
          <t>AI-CTRL-008, AI-CTRL-012, AI-CTRL-038</t>
        </is>
      </c>
      <c r="G633" s="6" t="inlineStr">
        <is>
          <t>AI-R02, AI-R03, AI-R09, AI-R15, AI-R18, AI-R19, AI-R26, AI-R27, AI-R28</t>
        </is>
      </c>
      <c r="H633" s="6" t="inlineStr">
        <is>
          <t>Derived via mapped controls</t>
        </is>
      </c>
      <c r="I633" s="6" t="inlineStr"/>
      <c r="J633" s="6" t="inlineStr"/>
      <c r="K633" s="6" t="inlineStr">
        <is>
          <t>https://nachi065.github.io/AI-Security-Wiki/23_Framework_Crosswalks/17_International_AI_Instruments_Crosswalk.html</t>
        </is>
      </c>
    </row>
    <row r="634">
      <c r="A634" s="157" t="inlineStr">
        <is>
          <t>International instruments</t>
        </is>
      </c>
      <c r="B634" s="157" t="inlineStr">
        <is>
          <t>Council of Europe AI Convention</t>
        </is>
      </c>
      <c r="C634" s="157" t="inlineStr">
        <is>
          <t>Council of Europe Framework Convention on Artificial Intelligence and Human Rights, Democracy and the Rule of Law (CETS No. 225)</t>
        </is>
      </c>
      <c r="D634" s="157" t="inlineStr">
        <is>
          <t>Art. 10</t>
        </is>
      </c>
      <c r="E634" s="157" t="inlineStr">
        <is>
          <t>Equality and non-discrimination</t>
        </is>
      </c>
      <c r="F634" s="157" t="inlineStr">
        <is>
          <t>AI-CTRL-041</t>
        </is>
      </c>
      <c r="G634" s="157" t="inlineStr">
        <is>
          <t>AI-R12, AI-R14, AI-R15</t>
        </is>
      </c>
      <c r="H634" s="157" t="inlineStr">
        <is>
          <t>Derived via mapped controls</t>
        </is>
      </c>
      <c r="I634" s="157" t="inlineStr"/>
      <c r="J634" s="157" t="inlineStr"/>
      <c r="K634" s="157" t="inlineStr">
        <is>
          <t>https://nachi065.github.io/AI-Security-Wiki/23_Framework_Crosswalks/17_International_AI_Instruments_Crosswalk.html</t>
        </is>
      </c>
    </row>
    <row r="635">
      <c r="A635" s="6" t="inlineStr">
        <is>
          <t>International instruments</t>
        </is>
      </c>
      <c r="B635" s="6" t="inlineStr">
        <is>
          <t>Council of Europe AI Convention</t>
        </is>
      </c>
      <c r="C635" s="6" t="inlineStr">
        <is>
          <t>Council of Europe Framework Convention on Artificial Intelligence and Human Rights, Democracy and the Rule of Law (CETS No. 225)</t>
        </is>
      </c>
      <c r="D635" s="6" t="inlineStr">
        <is>
          <t>Art. 11</t>
        </is>
      </c>
      <c r="E635" s="6" t="inlineStr">
        <is>
          <t>Privacy and personal data protection</t>
        </is>
      </c>
      <c r="F635" s="6" t="inlineStr">
        <is>
          <t>AI-CTRL-013, AI-CTRL-017</t>
        </is>
      </c>
      <c r="G635" s="6" t="inlineStr">
        <is>
          <t>AI-R01, AI-R03, AI-R06, AI-R10, AI-R17, AI-R27, AI-R28</t>
        </is>
      </c>
      <c r="H635" s="6" t="inlineStr">
        <is>
          <t>Derived via mapped controls</t>
        </is>
      </c>
      <c r="I635" s="6" t="inlineStr"/>
      <c r="J635" s="6" t="inlineStr"/>
      <c r="K635" s="6" t="inlineStr">
        <is>
          <t>https://nachi065.github.io/AI-Security-Wiki/23_Framework_Crosswalks/17_International_AI_Instruments_Crosswalk.html</t>
        </is>
      </c>
    </row>
    <row r="636">
      <c r="A636" s="157" t="inlineStr">
        <is>
          <t>International instruments</t>
        </is>
      </c>
      <c r="B636" s="157" t="inlineStr">
        <is>
          <t>Council of Europe AI Convention</t>
        </is>
      </c>
      <c r="C636" s="157" t="inlineStr">
        <is>
          <t>Council of Europe Framework Convention on Artificial Intelligence and Human Rights, Democracy and the Rule of Law (CETS No. 225)</t>
        </is>
      </c>
      <c r="D636" s="157" t="inlineStr">
        <is>
          <t>Art. 12</t>
        </is>
      </c>
      <c r="E636" s="157" t="inlineStr">
        <is>
          <t>Reliability</t>
        </is>
      </c>
      <c r="F636" s="157" t="inlineStr">
        <is>
          <t>AI-CTRL-034, AI-CTRL-039, AI-CTRL-040</t>
        </is>
      </c>
      <c r="G636" s="157" t="inlineStr">
        <is>
          <t>AI-R05, AI-R07, AI-R12, AI-R13, AI-R14, AI-R16, AI-R17, AI-R20</t>
        </is>
      </c>
      <c r="H636" s="157" t="inlineStr">
        <is>
          <t>Derived via mapped controls</t>
        </is>
      </c>
      <c r="I636" s="157" t="inlineStr"/>
      <c r="J636" s="157" t="inlineStr"/>
      <c r="K636" s="157" t="inlineStr">
        <is>
          <t>https://nachi065.github.io/AI-Security-Wiki/23_Framework_Crosswalks/17_International_AI_Instruments_Crosswalk.html</t>
        </is>
      </c>
    </row>
    <row r="637">
      <c r="A637" s="6" t="inlineStr">
        <is>
          <t>International instruments</t>
        </is>
      </c>
      <c r="B637" s="6" t="inlineStr">
        <is>
          <t>Council of Europe AI Convention</t>
        </is>
      </c>
      <c r="C637" s="6" t="inlineStr">
        <is>
          <t>Council of Europe Framework Convention on Artificial Intelligence and Human Rights, Democracy and the Rule of Law (CETS No. 225)</t>
        </is>
      </c>
      <c r="D637" s="6" t="inlineStr">
        <is>
          <t>Art. 13</t>
        </is>
      </c>
      <c r="E637" s="6" t="inlineStr">
        <is>
          <t>Safe innovation</t>
        </is>
      </c>
      <c r="F637" s="6" t="inlineStr">
        <is>
          <t>None</t>
        </is>
      </c>
      <c r="G637" s="6" t="inlineStr">
        <is>
          <t>None</t>
        </is>
      </c>
      <c r="H637" s="6" t="inlineStr">
        <is>
          <t>Derived via mapped controls</t>
        </is>
      </c>
      <c r="I637" s="6" t="inlineStr"/>
      <c r="J637" s="6" t="inlineStr">
        <is>
          <t>Main wiki controls and pages: Not mapped: it concerns controlled environments that states set up, such as regulatory sandboxes</t>
        </is>
      </c>
      <c r="K637" s="6" t="inlineStr">
        <is>
          <t>https://nachi065.github.io/AI-Security-Wiki/23_Framework_Crosswalks/17_International_AI_Instruments_Crosswalk.html</t>
        </is>
      </c>
    </row>
    <row r="638">
      <c r="A638" s="157" t="inlineStr">
        <is>
          <t>International instruments</t>
        </is>
      </c>
      <c r="B638" s="157" t="inlineStr">
        <is>
          <t>Council of Europe AI Convention</t>
        </is>
      </c>
      <c r="C638" s="157" t="inlineStr">
        <is>
          <t>Council of Europe Framework Convention on Artificial Intelligence and Human Rights, Democracy and the Rule of Law (CETS No. 225)</t>
        </is>
      </c>
      <c r="D638" s="157" t="inlineStr">
        <is>
          <t>14, 15</t>
        </is>
      </c>
      <c r="E638" s="157" t="inlineStr">
        <is>
          <t>Remedies; procedural safeguards (including notice of interacting with AI)</t>
        </is>
      </c>
      <c r="F638" s="157" t="inlineStr">
        <is>
          <t>AI-CTRL-045</t>
        </is>
      </c>
      <c r="G638" s="157" t="inlineStr">
        <is>
          <t>AI-R07, AI-R12, AI-R14, AI-R18, AI-R19, AI-R28</t>
        </is>
      </c>
      <c r="H638" s="157" t="inlineStr">
        <is>
          <t>Derived via mapped controls</t>
        </is>
      </c>
      <c r="I638" s="157" t="inlineStr"/>
      <c r="J638" s="157" t="inlineStr"/>
      <c r="K638" s="157" t="inlineStr">
        <is>
          <t>https://nachi065.github.io/AI-Security-Wiki/23_Framework_Crosswalks/17_International_AI_Instruments_Crosswalk.html</t>
        </is>
      </c>
    </row>
    <row r="639">
      <c r="A639" s="6" t="inlineStr">
        <is>
          <t>International instruments</t>
        </is>
      </c>
      <c r="B639" s="6" t="inlineStr">
        <is>
          <t>Council of Europe AI Convention</t>
        </is>
      </c>
      <c r="C639" s="6" t="inlineStr">
        <is>
          <t>Council of Europe Framework Convention on Artificial Intelligence and Human Rights, Democracy and the Rule of Law (CETS No. 225)</t>
        </is>
      </c>
      <c r="D639" s="6" t="inlineStr">
        <is>
          <t>Art. 16</t>
        </is>
      </c>
      <c r="E639" s="6" t="inlineStr">
        <is>
          <t>Risk and impact management framework</t>
        </is>
      </c>
      <c r="F639" s="6" t="inlineStr">
        <is>
          <t>AI-CTRL-037, AI-CTRL-042</t>
        </is>
      </c>
      <c r="G639" s="6" t="inlineStr">
        <is>
          <t>AI-R02, AI-R10, AI-R12, AI-R18, AI-R28, AI-R55</t>
        </is>
      </c>
      <c r="H639" s="6" t="inlineStr">
        <is>
          <t>Derived via mapped controls</t>
        </is>
      </c>
      <c r="I639" s="6" t="inlineStr"/>
      <c r="J639" s="6" t="inlineStr"/>
      <c r="K639" s="6" t="inlineStr">
        <is>
          <t>https://nachi065.github.io/AI-Security-Wiki/23_Framework_Crosswalks/17_International_AI_Instruments_Crosswalk.html</t>
        </is>
      </c>
    </row>
    <row r="640">
      <c r="A640" s="157" t="inlineStr">
        <is>
          <t>International instruments</t>
        </is>
      </c>
      <c r="B640" s="157" t="inlineStr">
        <is>
          <t>Council of Europe AI Convention</t>
        </is>
      </c>
      <c r="C640" s="157" t="inlineStr">
        <is>
          <t>Council of Europe Framework Convention on Artificial Intelligence and Human Rights, Democracy and the Rule of Law (CETS No. 225)</t>
        </is>
      </c>
      <c r="D640" s="157" t="inlineStr">
        <is>
          <t>Art. 19</t>
        </is>
      </c>
      <c r="E640" s="157" t="inlineStr">
        <is>
          <t>Public consultation</t>
        </is>
      </c>
      <c r="F640" s="157" t="inlineStr">
        <is>
          <t>None</t>
        </is>
      </c>
      <c r="G640" s="157" t="inlineStr">
        <is>
          <t>None</t>
        </is>
      </c>
      <c r="H640" s="157" t="inlineStr">
        <is>
          <t>Derived via mapped controls</t>
        </is>
      </c>
      <c r="I640" s="157" t="inlineStr"/>
      <c r="J640" s="157" t="inlineStr">
        <is>
          <t>Main wiki controls and pages: UK-T3 Public Sector Transparency Record</t>
        </is>
      </c>
      <c r="K640" s="157" t="inlineStr">
        <is>
          <t>https://nachi065.github.io/AI-Security-Wiki/23_Framework_Crosswalks/17_International_AI_Instruments_Crosswalk.html</t>
        </is>
      </c>
    </row>
    <row r="641">
      <c r="A641" s="6" t="inlineStr">
        <is>
          <t>International instruments</t>
        </is>
      </c>
      <c r="B641" s="6" t="inlineStr">
        <is>
          <t>Council of Europe AI Convention</t>
        </is>
      </c>
      <c r="C641" s="6" t="inlineStr">
        <is>
          <t>Council of Europe Framework Convention on Artificial Intelligence and Human Rights, Democracy and the Rule of Law (CETS No. 225)</t>
        </is>
      </c>
      <c r="D641" s="6" t="inlineStr">
        <is>
          <t>Art. 20</t>
        </is>
      </c>
      <c r="E641" s="6" t="inlineStr">
        <is>
          <t>Digital literacy and skills</t>
        </is>
      </c>
      <c r="F641" s="6" t="inlineStr">
        <is>
          <t>AI-CTRL-044</t>
        </is>
      </c>
      <c r="G641" s="6" t="inlineStr">
        <is>
          <t>AI-R02, AI-R19</t>
        </is>
      </c>
      <c r="H641" s="6" t="inlineStr">
        <is>
          <t>Derived via mapped controls</t>
        </is>
      </c>
      <c r="I641" s="6" t="inlineStr"/>
      <c r="J641" s="6" t="inlineStr"/>
      <c r="K641" s="6" t="inlineStr">
        <is>
          <t>https://nachi065.github.io/AI-Security-Wiki/23_Framework_Crosswalks/17_International_AI_Instruments_Crosswalk.html</t>
        </is>
      </c>
    </row>
    <row r="642">
      <c r="A642" s="157" t="inlineStr">
        <is>
          <t>International instruments</t>
        </is>
      </c>
      <c r="B642" s="157" t="inlineStr">
        <is>
          <t>Council of Europe AI Convention</t>
        </is>
      </c>
      <c r="C642" s="157" t="inlineStr">
        <is>
          <t>Council of Europe Framework Convention on Artificial Intelligence and Human Rights, Democracy and the Rule of Law (CETS No. 225)</t>
        </is>
      </c>
      <c r="D642" s="157" t="inlineStr">
        <is>
          <t>Art. 26</t>
        </is>
      </c>
      <c r="E642" s="157" t="inlineStr">
        <is>
          <t>Effective oversight mechanisms</t>
        </is>
      </c>
      <c r="F642" s="157" t="inlineStr">
        <is>
          <t>AI-CTRL-043</t>
        </is>
      </c>
      <c r="G642" s="157" t="inlineStr">
        <is>
          <t>AI-R09, AI-R10</t>
        </is>
      </c>
      <c r="H642" s="157" t="inlineStr">
        <is>
          <t>Derived via mapped controls</t>
        </is>
      </c>
      <c r="I642" s="157" t="inlineStr"/>
      <c r="J642" s="157" t="inlineStr"/>
      <c r="K642" s="157" t="inlineStr">
        <is>
          <t>https://nachi065.github.io/AI-Security-Wiki/23_Framework_Crosswalks/17_International_AI_Instruments_Crosswalk.html</t>
        </is>
      </c>
    </row>
    <row r="643">
      <c r="A643" s="6" t="inlineStr">
        <is>
          <t>International instruments</t>
        </is>
      </c>
      <c r="B643" s="6" t="inlineStr">
        <is>
          <t>G7 Hiroshima Code</t>
        </is>
      </c>
      <c r="C643" s="6" t="inlineStr">
        <is>
          <t>G7 Hiroshima Process International Code of Conduct for Organizations Developing Advanced AI Systems</t>
        </is>
      </c>
      <c r="D643" s="6" t="inlineStr">
        <is>
          <t>Action 1</t>
        </is>
      </c>
      <c r="E643" s="6" t="inlineStr">
        <is>
          <t>Take appropriate measures throughout development to identify, evaluate and mitigate risks</t>
        </is>
      </c>
      <c r="F643" s="6" t="inlineStr">
        <is>
          <t>AI-CTRL-033, AI-CTRL-034, AI-CTRL-037</t>
        </is>
      </c>
      <c r="G643" s="6" t="inlineStr">
        <is>
          <t>AI-R02, AI-R05, AI-R07, AI-R08, AI-R14, AI-R16, AI-R17, AI-R18, AI-R20, AI-R28, AI-R55</t>
        </is>
      </c>
      <c r="H643" s="6" t="inlineStr">
        <is>
          <t>Derived via mapped controls</t>
        </is>
      </c>
      <c r="I643" s="6" t="inlineStr"/>
      <c r="J643" s="6" t="inlineStr"/>
      <c r="K643" s="6" t="inlineStr">
        <is>
          <t>https://nachi065.github.io/AI-Security-Wiki/23_Framework_Crosswalks/17_International_AI_Instruments_Crosswalk.html</t>
        </is>
      </c>
    </row>
    <row r="644">
      <c r="A644" s="157" t="inlineStr">
        <is>
          <t>International instruments</t>
        </is>
      </c>
      <c r="B644" s="157" t="inlineStr">
        <is>
          <t>G7 Hiroshima Code</t>
        </is>
      </c>
      <c r="C644" s="157" t="inlineStr">
        <is>
          <t>G7 Hiroshima Process International Code of Conduct for Organizations Developing Advanced AI Systems</t>
        </is>
      </c>
      <c r="D644" s="157" t="inlineStr">
        <is>
          <t>Action 2</t>
        </is>
      </c>
      <c r="E644" s="157" t="inlineStr">
        <is>
          <t>Identify and mitigate vulnerabilities, incidents and patterns of misuse after deployment</t>
        </is>
      </c>
      <c r="F644" s="157" t="inlineStr">
        <is>
          <t>AI-CTRL-034, AI-CTRL-035, AI-CTRL-036</t>
        </is>
      </c>
      <c r="G644" s="157" t="inlineStr">
        <is>
          <t>AI-R05, AI-R07, AI-R09, AI-R11, AI-R16, AI-R17, AI-R20</t>
        </is>
      </c>
      <c r="H644" s="157" t="inlineStr">
        <is>
          <t>Derived via mapped controls</t>
        </is>
      </c>
      <c r="I644" s="157" t="inlineStr"/>
      <c r="J644" s="157" t="inlineStr"/>
      <c r="K644" s="157" t="inlineStr">
        <is>
          <t>https://nachi065.github.io/AI-Security-Wiki/23_Framework_Crosswalks/17_International_AI_Instruments_Crosswalk.html</t>
        </is>
      </c>
    </row>
    <row r="645">
      <c r="A645" s="6" t="inlineStr">
        <is>
          <t>International instruments</t>
        </is>
      </c>
      <c r="B645" s="6" t="inlineStr">
        <is>
          <t>G7 Hiroshima Code</t>
        </is>
      </c>
      <c r="C645" s="6" t="inlineStr">
        <is>
          <t>G7 Hiroshima Process International Code of Conduct for Organizations Developing Advanced AI Systems</t>
        </is>
      </c>
      <c r="D645" s="6" t="inlineStr">
        <is>
          <t>Action 3</t>
        </is>
      </c>
      <c r="E645" s="6" t="inlineStr">
        <is>
          <t>Publicly report capabilities, limitations and domains of appropriate and inappropriate use</t>
        </is>
      </c>
      <c r="F645" s="6" t="inlineStr">
        <is>
          <t>AI-CTRL-039</t>
        </is>
      </c>
      <c r="G645" s="6" t="inlineStr">
        <is>
          <t>AI-R12, AI-R14, AI-R20</t>
        </is>
      </c>
      <c r="H645" s="6" t="inlineStr">
        <is>
          <t>Derived via mapped controls</t>
        </is>
      </c>
      <c r="I645" s="6" t="inlineStr"/>
      <c r="J645" s="6" t="inlineStr"/>
      <c r="K645" s="6" t="inlineStr">
        <is>
          <t>https://nachi065.github.io/AI-Security-Wiki/23_Framework_Crosswalks/17_International_AI_Instruments_Crosswalk.html</t>
        </is>
      </c>
    </row>
    <row r="646">
      <c r="A646" s="157" t="inlineStr">
        <is>
          <t>International instruments</t>
        </is>
      </c>
      <c r="B646" s="157" t="inlineStr">
        <is>
          <t>G7 Hiroshima Code</t>
        </is>
      </c>
      <c r="C646" s="157" t="inlineStr">
        <is>
          <t>G7 Hiroshima Process International Code of Conduct for Organizations Developing Advanced AI Systems</t>
        </is>
      </c>
      <c r="D646" s="157" t="inlineStr">
        <is>
          <t>Action 4</t>
        </is>
      </c>
      <c r="E646" s="157" t="inlineStr">
        <is>
          <t>Work towards responsible information sharing and incident reporting among organizations</t>
        </is>
      </c>
      <c r="F646" s="157" t="inlineStr">
        <is>
          <t>AI-CTRL-035, AI-CTRL-043</t>
        </is>
      </c>
      <c r="G646" s="157" t="inlineStr">
        <is>
          <t>AI-R09, AI-R10, AI-R20</t>
        </is>
      </c>
      <c r="H646" s="157" t="inlineStr">
        <is>
          <t>Derived via mapped controls</t>
        </is>
      </c>
      <c r="I646" s="157" t="inlineStr"/>
      <c r="J646" s="157" t="inlineStr"/>
      <c r="K646" s="157" t="inlineStr">
        <is>
          <t>https://nachi065.github.io/AI-Security-Wiki/23_Framework_Crosswalks/17_International_AI_Instruments_Crosswalk.html</t>
        </is>
      </c>
    </row>
    <row r="647">
      <c r="A647" s="6" t="inlineStr">
        <is>
          <t>International instruments</t>
        </is>
      </c>
      <c r="B647" s="6" t="inlineStr">
        <is>
          <t>G7 Hiroshima Code</t>
        </is>
      </c>
      <c r="C647" s="6" t="inlineStr">
        <is>
          <t>G7 Hiroshima Process International Code of Conduct for Organizations Developing Advanced AI Systems</t>
        </is>
      </c>
      <c r="D647" s="6" t="inlineStr">
        <is>
          <t>Action 5</t>
        </is>
      </c>
      <c r="E647" s="6" t="inlineStr">
        <is>
          <t>Develop, implement and disclose AI governance and risk management policies</t>
        </is>
      </c>
      <c r="F647" s="6" t="inlineStr">
        <is>
          <t>AI-CTRL-012, AI-CTRL-037</t>
        </is>
      </c>
      <c r="G647" s="6" t="inlineStr">
        <is>
          <t>AI-R02, AI-R03, AI-R18, AI-R19, AI-R27, AI-R28, AI-R55</t>
        </is>
      </c>
      <c r="H647" s="6" t="inlineStr">
        <is>
          <t>Derived via mapped controls</t>
        </is>
      </c>
      <c r="I647" s="6" t="inlineStr"/>
      <c r="J647" s="6" t="inlineStr"/>
      <c r="K647" s="6" t="inlineStr">
        <is>
          <t>https://nachi065.github.io/AI-Security-Wiki/23_Framework_Crosswalks/17_International_AI_Instruments_Crosswalk.html</t>
        </is>
      </c>
    </row>
    <row r="648">
      <c r="A648" s="157" t="inlineStr">
        <is>
          <t>International instruments</t>
        </is>
      </c>
      <c r="B648" s="157" t="inlineStr">
        <is>
          <t>G7 Hiroshima Code</t>
        </is>
      </c>
      <c r="C648" s="157" t="inlineStr">
        <is>
          <t>G7 Hiroshima Process International Code of Conduct for Organizations Developing Advanced AI Systems</t>
        </is>
      </c>
      <c r="D648" s="157" t="inlineStr">
        <is>
          <t>Action 6</t>
        </is>
      </c>
      <c r="E648" s="157" t="inlineStr">
        <is>
          <t>Invest in robust security controls, including physical security and cybersecurity</t>
        </is>
      </c>
      <c r="F648" s="157" t="inlineStr">
        <is>
          <t>AI-CTRL-028, AI-CTRL-030, AI-CTRL-032</t>
        </is>
      </c>
      <c r="G648" s="157" t="inlineStr">
        <is>
          <t>AI-R08, AI-R10</t>
        </is>
      </c>
      <c r="H648" s="157" t="inlineStr">
        <is>
          <t>Derived via mapped controls</t>
        </is>
      </c>
      <c r="I648" s="157" t="inlineStr"/>
      <c r="J648" s="157" t="inlineStr"/>
      <c r="K648" s="157" t="inlineStr">
        <is>
          <t>https://nachi065.github.io/AI-Security-Wiki/23_Framework_Crosswalks/17_International_AI_Instruments_Crosswalk.html</t>
        </is>
      </c>
    </row>
    <row r="649">
      <c r="A649" s="6" t="inlineStr">
        <is>
          <t>International instruments</t>
        </is>
      </c>
      <c r="B649" s="6" t="inlineStr">
        <is>
          <t>G7 Hiroshima Code</t>
        </is>
      </c>
      <c r="C649" s="6" t="inlineStr">
        <is>
          <t>G7 Hiroshima Process International Code of Conduct for Organizations Developing Advanced AI Systems</t>
        </is>
      </c>
      <c r="D649" s="6" t="inlineStr">
        <is>
          <t>Action 7</t>
        </is>
      </c>
      <c r="E649" s="6" t="inlineStr">
        <is>
          <t>Develop and deploy content authentication and provenance mechanisms where technically feasible</t>
        </is>
      </c>
      <c r="F649" s="6" t="inlineStr">
        <is>
          <t>AI-CTRL-039</t>
        </is>
      </c>
      <c r="G649" s="6" t="inlineStr">
        <is>
          <t>AI-R12, AI-R14, AI-R20</t>
        </is>
      </c>
      <c r="H649" s="6" t="inlineStr">
        <is>
          <t>Derived via mapped controls</t>
        </is>
      </c>
      <c r="I649" s="6" t="inlineStr"/>
      <c r="J649" s="6" t="inlineStr"/>
      <c r="K649" s="6" t="inlineStr">
        <is>
          <t>https://nachi065.github.io/AI-Security-Wiki/23_Framework_Crosswalks/17_International_AI_Instruments_Crosswalk.html</t>
        </is>
      </c>
    </row>
    <row r="650">
      <c r="A650" s="157" t="inlineStr">
        <is>
          <t>International instruments</t>
        </is>
      </c>
      <c r="B650" s="157" t="inlineStr">
        <is>
          <t>G7 Hiroshima Code</t>
        </is>
      </c>
      <c r="C650" s="157" t="inlineStr">
        <is>
          <t>G7 Hiroshima Process International Code of Conduct for Organizations Developing Advanced AI Systems</t>
        </is>
      </c>
      <c r="D650" s="157" t="inlineStr">
        <is>
          <t>Action 8</t>
        </is>
      </c>
      <c r="E650" s="157" t="inlineStr">
        <is>
          <t>Prioritize research to mitigate societal, safety and security risks</t>
        </is>
      </c>
      <c r="F650" s="157" t="inlineStr">
        <is>
          <t>None</t>
        </is>
      </c>
      <c r="G650" s="157" t="inlineStr">
        <is>
          <t>None</t>
        </is>
      </c>
      <c r="H650" s="157" t="inlineStr">
        <is>
          <t>Derived via mapped controls</t>
        </is>
      </c>
      <c r="I650" s="157" t="inlineStr"/>
      <c r="J650" s="157" t="inlineStr">
        <is>
          <t>Main wiki controls and pages: Not mapped: a research commitment</t>
        </is>
      </c>
      <c r="K650" s="157" t="inlineStr">
        <is>
          <t>https://nachi065.github.io/AI-Security-Wiki/23_Framework_Crosswalks/17_International_AI_Instruments_Crosswalk.html</t>
        </is>
      </c>
    </row>
    <row r="651">
      <c r="A651" s="6" t="inlineStr">
        <is>
          <t>International instruments</t>
        </is>
      </c>
      <c r="B651" s="6" t="inlineStr">
        <is>
          <t>G7 Hiroshima Code</t>
        </is>
      </c>
      <c r="C651" s="6" t="inlineStr">
        <is>
          <t>G7 Hiroshima Process International Code of Conduct for Organizations Developing Advanced AI Systems</t>
        </is>
      </c>
      <c r="D651" s="6" t="inlineStr">
        <is>
          <t>Action 9</t>
        </is>
      </c>
      <c r="E651" s="6" t="inlineStr">
        <is>
          <t>Prioritize development of advanced AI to address the world's greatest challenges</t>
        </is>
      </c>
      <c r="F651" s="6" t="inlineStr">
        <is>
          <t>None</t>
        </is>
      </c>
      <c r="G651" s="6" t="inlineStr">
        <is>
          <t>None</t>
        </is>
      </c>
      <c r="H651" s="6" t="inlineStr">
        <is>
          <t>Derived via mapped controls</t>
        </is>
      </c>
      <c r="I651" s="6" t="inlineStr"/>
      <c r="J651" s="6" t="inlineStr">
        <is>
          <t>Main wiki controls and pages: Not mapped: a purpose commitment</t>
        </is>
      </c>
      <c r="K651" s="6" t="inlineStr">
        <is>
          <t>https://nachi065.github.io/AI-Security-Wiki/23_Framework_Crosswalks/17_International_AI_Instruments_Crosswalk.html</t>
        </is>
      </c>
    </row>
    <row r="652">
      <c r="A652" s="157" t="inlineStr">
        <is>
          <t>International instruments</t>
        </is>
      </c>
      <c r="B652" s="157" t="inlineStr">
        <is>
          <t>G7 Hiroshima Code</t>
        </is>
      </c>
      <c r="C652" s="157" t="inlineStr">
        <is>
          <t>G7 Hiroshima Process International Code of Conduct for Organizations Developing Advanced AI Systems</t>
        </is>
      </c>
      <c r="D652" s="157" t="inlineStr">
        <is>
          <t>Action 10</t>
        </is>
      </c>
      <c r="E652" s="157" t="inlineStr">
        <is>
          <t>Advance the development and adoption of international technical standards</t>
        </is>
      </c>
      <c r="F652" s="157" t="inlineStr">
        <is>
          <t>None</t>
        </is>
      </c>
      <c r="G652" s="157" t="inlineStr">
        <is>
          <t>None</t>
        </is>
      </c>
      <c r="H652" s="157" t="inlineStr">
        <is>
          <t>Derived via mapped controls</t>
        </is>
      </c>
      <c r="I652" s="157" t="inlineStr"/>
      <c r="J652" s="157" t="inlineStr">
        <is>
          <t>Main wiki controls and pages: Not mapped; see the standards crosswalks in this section</t>
        </is>
      </c>
      <c r="K652" s="157" t="inlineStr">
        <is>
          <t>https://nachi065.github.io/AI-Security-Wiki/23_Framework_Crosswalks/17_International_AI_Instruments_Crosswalk.html</t>
        </is>
      </c>
    </row>
    <row r="653">
      <c r="A653" s="6" t="inlineStr">
        <is>
          <t>International instruments</t>
        </is>
      </c>
      <c r="B653" s="6" t="inlineStr">
        <is>
          <t>G7 Hiroshima Code</t>
        </is>
      </c>
      <c r="C653" s="6" t="inlineStr">
        <is>
          <t>G7 Hiroshima Process International Code of Conduct for Organizations Developing Advanced AI Systems</t>
        </is>
      </c>
      <c r="D653" s="6" t="inlineStr">
        <is>
          <t>Action 11</t>
        </is>
      </c>
      <c r="E653" s="6" t="inlineStr">
        <is>
          <t>Implement appropriate data input measures and protections for personal data and intellectual property</t>
        </is>
      </c>
      <c r="F653" s="6" t="inlineStr">
        <is>
          <t>AI-CTRL-013, AI-CTRL-029, AI-CTRL-046</t>
        </is>
      </c>
      <c r="G653" s="6" t="inlineStr">
        <is>
          <t>AI-R03, AI-R08, AI-R10, AI-R27, AI-R28</t>
        </is>
      </c>
      <c r="H653" s="6" t="inlineStr">
        <is>
          <t>Derived via mapped controls</t>
        </is>
      </c>
      <c r="I653" s="6" t="inlineStr"/>
      <c r="J653" s="6" t="inlineStr"/>
      <c r="K653" s="6" t="inlineStr">
        <is>
          <t>https://nachi065.github.io/AI-Security-Wiki/23_Framework_Crosswalks/17_International_AI_Instruments_Crosswalk.html</t>
        </is>
      </c>
    </row>
    <row r="654">
      <c r="A654" s="157" t="inlineStr">
        <is>
          <t>Risk frameworks</t>
        </is>
      </c>
      <c r="B654" s="157" t="inlineStr">
        <is>
          <t>AI Risk Map v1.3</t>
        </is>
      </c>
      <c r="C654" s="157" t="inlineStr">
        <is>
          <t>Map categories to wiki risks</t>
        </is>
      </c>
      <c r="D654" s="157" t="inlineStr">
        <is>
          <t>01 Governance and oversight</t>
        </is>
      </c>
      <c r="E654" s="157" t="inlineStr">
        <is>
          <t>Governance and oversight</t>
        </is>
      </c>
      <c r="F654" s="157" t="inlineStr">
        <is>
          <t>None</t>
        </is>
      </c>
      <c r="G654" s="157" t="inlineStr">
        <is>
          <t>AI-R02, AI-R18</t>
        </is>
      </c>
      <c r="H654" s="157" t="inlineStr">
        <is>
          <t>Wiki maps risks directly</t>
        </is>
      </c>
      <c r="I654" s="157" t="inlineStr">
        <is>
          <t>Partial</t>
        </is>
      </c>
      <c r="J654" s="157" t="inlineStr">
        <is>
          <t>Wiki risks: AI-R02, AI-R18; What the match leaves out: Shadow AI and use beyond approved purpose are register risks. Board oversight and the governance body are covered by the AI Governance Operating Model, not as risks.</t>
        </is>
      </c>
      <c r="K654" s="157" t="inlineStr">
        <is>
          <t>https://nachi065.github.io/AI-Security-Wiki/23_Framework_Crosswalks/18_AI_Risk_Map_Crosswalk.html</t>
        </is>
      </c>
    </row>
    <row r="655">
      <c r="A655" s="6" t="inlineStr">
        <is>
          <t>Risk frameworks</t>
        </is>
      </c>
      <c r="B655" s="6" t="inlineStr">
        <is>
          <t>AI Risk Map v1.3</t>
        </is>
      </c>
      <c r="C655" s="6" t="inlineStr">
        <is>
          <t>Map categories to wiki risks</t>
        </is>
      </c>
      <c r="D655" s="6" t="inlineStr">
        <is>
          <t>01 Roles and accountability</t>
        </is>
      </c>
      <c r="E655" s="6" t="inlineStr">
        <is>
          <t>Roles and accountability</t>
        </is>
      </c>
      <c r="F655" s="6" t="inlineStr">
        <is>
          <t>None</t>
        </is>
      </c>
      <c r="G655" s="6" t="inlineStr">
        <is>
          <t>AI-R28</t>
        </is>
      </c>
      <c r="H655" s="6" t="inlineStr">
        <is>
          <t>Wiki maps risks directly</t>
        </is>
      </c>
      <c r="I655" s="6" t="inlineStr">
        <is>
          <t>Partial</t>
        </is>
      </c>
      <c r="J655" s="6" t="inlineStr">
        <is>
          <t>Wiki risks: AI-R28; What the match leaves out: Named accountable owners are required in AI-R28 and the operating model. Segregation of duties was considered and not added as a separate risk; see Considered and Not Added.</t>
        </is>
      </c>
      <c r="K655" s="6" t="inlineStr">
        <is>
          <t>https://nachi065.github.io/AI-Security-Wiki/23_Framework_Crosswalks/18_AI_Risk_Map_Crosswalk.html</t>
        </is>
      </c>
    </row>
    <row r="656">
      <c r="A656" s="157" t="inlineStr">
        <is>
          <t>Risk frameworks</t>
        </is>
      </c>
      <c r="B656" s="157" t="inlineStr">
        <is>
          <t>AI Risk Map v1.3</t>
        </is>
      </c>
      <c r="C656" s="157" t="inlineStr">
        <is>
          <t>Map categories to wiki risks</t>
        </is>
      </c>
      <c r="D656" s="157" t="inlineStr">
        <is>
          <t>01 Policy and standards</t>
        </is>
      </c>
      <c r="E656" s="157" t="inlineStr">
        <is>
          <t>Policy and standards</t>
        </is>
      </c>
      <c r="F656" s="157" t="inlineStr">
        <is>
          <t>AI-CTRL-012</t>
        </is>
      </c>
      <c r="G656" s="157" t="inlineStr">
        <is>
          <t>AI-R02</t>
        </is>
      </c>
      <c r="H656" s="157" t="inlineStr">
        <is>
          <t>Wiki maps risks directly</t>
        </is>
      </c>
      <c r="I656" s="157" t="inlineStr">
        <is>
          <t>Partial</t>
        </is>
      </c>
      <c r="J656" s="157" t="inlineStr">
        <is>
          <t>Wiki risks: AI-R02</t>
        </is>
      </c>
      <c r="K656" s="157" t="inlineStr">
        <is>
          <t>https://nachi065.github.io/AI-Security-Wiki/23_Framework_Crosswalks/18_AI_Risk_Map_Crosswalk.html</t>
        </is>
      </c>
    </row>
    <row r="657">
      <c r="A657" s="6" t="inlineStr">
        <is>
          <t>Risk frameworks</t>
        </is>
      </c>
      <c r="B657" s="6" t="inlineStr">
        <is>
          <t>AI Risk Map v1.3</t>
        </is>
      </c>
      <c r="C657" s="6" t="inlineStr">
        <is>
          <t>Map categories to wiki risks</t>
        </is>
      </c>
      <c r="D657" s="6" t="inlineStr">
        <is>
          <t>01 Risk-management integration</t>
        </is>
      </c>
      <c r="E657" s="6" t="inlineStr">
        <is>
          <t>Risk-management integration</t>
        </is>
      </c>
      <c r="F657" s="6" t="inlineStr">
        <is>
          <t>AI-CTRL-042</t>
        </is>
      </c>
      <c r="G657" s="6" t="inlineStr">
        <is>
          <t>None</t>
        </is>
      </c>
      <c r="H657" s="6" t="inlineStr">
        <is>
          <t>Wiki maps risks directly</t>
        </is>
      </c>
      <c r="I657" s="6" t="inlineStr">
        <is>
          <t>Partial</t>
        </is>
      </c>
      <c r="J657" s="6" t="inlineStr">
        <is>
          <t>Wiki risks: None</t>
        </is>
      </c>
      <c r="K657" s="6" t="inlineStr">
        <is>
          <t>https://nachi065.github.io/AI-Security-Wiki/23_Framework_Crosswalks/18_AI_Risk_Map_Crosswalk.html</t>
        </is>
      </c>
    </row>
    <row r="658">
      <c r="A658" s="157" t="inlineStr">
        <is>
          <t>Risk frameworks</t>
        </is>
      </c>
      <c r="B658" s="157" t="inlineStr">
        <is>
          <t>AI Risk Map v1.3</t>
        </is>
      </c>
      <c r="C658" s="157" t="inlineStr">
        <is>
          <t>Map categories to wiki risks</t>
        </is>
      </c>
      <c r="D658" s="157" t="inlineStr">
        <is>
          <t>01 Audit and assurance</t>
        </is>
      </c>
      <c r="E658" s="157" t="inlineStr">
        <is>
          <t>Audit and assurance</t>
        </is>
      </c>
      <c r="F658" s="157" t="inlineStr">
        <is>
          <t>AI-CTRL-038</t>
        </is>
      </c>
      <c r="G658" s="157" t="inlineStr">
        <is>
          <t>AI-R09, AI-R40</t>
        </is>
      </c>
      <c r="H658" s="157" t="inlineStr">
        <is>
          <t>Wiki maps risks directly</t>
        </is>
      </c>
      <c r="I658" s="157" t="inlineStr">
        <is>
          <t>Partial</t>
        </is>
      </c>
      <c r="J658" s="157" t="inlineStr">
        <is>
          <t>Wiki risks: AI-R09, AI-R40</t>
        </is>
      </c>
      <c r="K658" s="157" t="inlineStr">
        <is>
          <t>https://nachi065.github.io/AI-Security-Wiki/23_Framework_Crosswalks/18_AI_Risk_Map_Crosswalk.html</t>
        </is>
      </c>
    </row>
    <row r="659">
      <c r="A659" s="6" t="inlineStr">
        <is>
          <t>Risk frameworks</t>
        </is>
      </c>
      <c r="B659" s="6" t="inlineStr">
        <is>
          <t>AI Risk Map v1.3</t>
        </is>
      </c>
      <c r="C659" s="6" t="inlineStr">
        <is>
          <t>Map categories to wiki risks</t>
        </is>
      </c>
      <c r="D659" s="6" t="inlineStr">
        <is>
          <t>02 Competitive position</t>
        </is>
      </c>
      <c r="E659" s="6" t="inlineStr">
        <is>
          <t>Competitive position</t>
        </is>
      </c>
      <c r="F659" s="6" t="inlineStr">
        <is>
          <t>None</t>
        </is>
      </c>
      <c r="G659" s="6" t="inlineStr">
        <is>
          <t>AI-R29</t>
        </is>
      </c>
      <c r="H659" s="6" t="inlineStr">
        <is>
          <t>Wiki maps risks directly</t>
        </is>
      </c>
      <c r="I659" s="6" t="inlineStr">
        <is>
          <t>Direct</t>
        </is>
      </c>
      <c r="J659" s="6" t="inlineStr">
        <is>
          <t>Wiki risks: AI-R29</t>
        </is>
      </c>
      <c r="K659" s="6" t="inlineStr">
        <is>
          <t>https://nachi065.github.io/AI-Security-Wiki/23_Framework_Crosswalks/18_AI_Risk_Map_Crosswalk.html</t>
        </is>
      </c>
    </row>
    <row r="660">
      <c r="A660" s="157" t="inlineStr">
        <is>
          <t>Risk frameworks</t>
        </is>
      </c>
      <c r="B660" s="157" t="inlineStr">
        <is>
          <t>AI Risk Map v1.3</t>
        </is>
      </c>
      <c r="C660" s="157" t="inlineStr">
        <is>
          <t>Map categories to wiki risks</t>
        </is>
      </c>
      <c r="D660" s="157" t="inlineStr">
        <is>
          <t>02 AI strategy and roadmap</t>
        </is>
      </c>
      <c r="E660" s="157" t="inlineStr">
        <is>
          <t>AI strategy and roadmap</t>
        </is>
      </c>
      <c r="F660" s="157" t="inlineStr">
        <is>
          <t>None</t>
        </is>
      </c>
      <c r="G660" s="157" t="inlineStr">
        <is>
          <t>AI-R29</t>
        </is>
      </c>
      <c r="H660" s="157" t="inlineStr">
        <is>
          <t>Wiki maps risks directly</t>
        </is>
      </c>
      <c r="I660" s="157" t="inlineStr">
        <is>
          <t>Direct</t>
        </is>
      </c>
      <c r="J660" s="157" t="inlineStr">
        <is>
          <t>Wiki risks: AI-R29</t>
        </is>
      </c>
      <c r="K660" s="157" t="inlineStr">
        <is>
          <t>https://nachi065.github.io/AI-Security-Wiki/23_Framework_Crosswalks/18_AI_Risk_Map_Crosswalk.html</t>
        </is>
      </c>
    </row>
    <row r="661">
      <c r="A661" s="6" t="inlineStr">
        <is>
          <t>Risk frameworks</t>
        </is>
      </c>
      <c r="B661" s="6" t="inlineStr">
        <is>
          <t>AI Risk Map v1.3</t>
        </is>
      </c>
      <c r="C661" s="6" t="inlineStr">
        <is>
          <t>Map categories to wiki risks</t>
        </is>
      </c>
      <c r="D661" s="6" t="inlineStr">
        <is>
          <t>02 Use-case selection and sourcing</t>
        </is>
      </c>
      <c r="E661" s="6" t="inlineStr">
        <is>
          <t>Use-case selection and sourcing</t>
        </is>
      </c>
      <c r="F661" s="6" t="inlineStr">
        <is>
          <t>None</t>
        </is>
      </c>
      <c r="G661" s="6" t="inlineStr">
        <is>
          <t>AI-R18, AI-R29</t>
        </is>
      </c>
      <c r="H661" s="6" t="inlineStr">
        <is>
          <t>Wiki maps risks directly</t>
        </is>
      </c>
      <c r="I661" s="6" t="inlineStr">
        <is>
          <t>Partial</t>
        </is>
      </c>
      <c r="J661" s="6" t="inlineStr">
        <is>
          <t>Wiki risks: AI-R29, AI-R18; What the match leaves out: The choice between training, fine-tuning, retrieval and an API has no separate risk.</t>
        </is>
      </c>
      <c r="K661" s="6" t="inlineStr">
        <is>
          <t>https://nachi065.github.io/AI-Security-Wiki/23_Framework_Crosswalks/18_AI_Risk_Map_Crosswalk.html</t>
        </is>
      </c>
    </row>
    <row r="662">
      <c r="A662" s="157" t="inlineStr">
        <is>
          <t>Risk frameworks</t>
        </is>
      </c>
      <c r="B662" s="157" t="inlineStr">
        <is>
          <t>AI Risk Map v1.3</t>
        </is>
      </c>
      <c r="C662" s="157" t="inlineStr">
        <is>
          <t>Map categories to wiki risks</t>
        </is>
      </c>
      <c r="D662" s="157" t="inlineStr">
        <is>
          <t>02 Value measurement / ROI</t>
        </is>
      </c>
      <c r="E662" s="157" t="inlineStr">
        <is>
          <t>Value measurement / ROI</t>
        </is>
      </c>
      <c r="F662" s="157" t="inlineStr">
        <is>
          <t>None</t>
        </is>
      </c>
      <c r="G662" s="157" t="inlineStr">
        <is>
          <t>AI-R29, AI-R30</t>
        </is>
      </c>
      <c r="H662" s="157" t="inlineStr">
        <is>
          <t>Wiki maps risks directly</t>
        </is>
      </c>
      <c r="I662" s="157" t="inlineStr">
        <is>
          <t>Direct</t>
        </is>
      </c>
      <c r="J662" s="157" t="inlineStr">
        <is>
          <t>Wiki risks: AI-R29, AI-R30</t>
        </is>
      </c>
      <c r="K662" s="157" t="inlineStr">
        <is>
          <t>https://nachi065.github.io/AI-Security-Wiki/23_Framework_Crosswalks/18_AI_Risk_Map_Crosswalk.html</t>
        </is>
      </c>
    </row>
    <row r="663">
      <c r="A663" s="6" t="inlineStr">
        <is>
          <t>Risk frameworks</t>
        </is>
      </c>
      <c r="B663" s="6" t="inlineStr">
        <is>
          <t>AI Risk Map v1.3</t>
        </is>
      </c>
      <c r="C663" s="6" t="inlineStr">
        <is>
          <t>Map categories to wiki risks</t>
        </is>
      </c>
      <c r="D663" s="6" t="inlineStr">
        <is>
          <t>03 Sourcing and provenance</t>
        </is>
      </c>
      <c r="E663" s="6" t="inlineStr">
        <is>
          <t>Sourcing and provenance</t>
        </is>
      </c>
      <c r="F663" s="6" t="inlineStr">
        <is>
          <t>AI-CTRL-029</t>
        </is>
      </c>
      <c r="G663" s="6" t="inlineStr">
        <is>
          <t>AI-R08, AI-R27</t>
        </is>
      </c>
      <c r="H663" s="6" t="inlineStr">
        <is>
          <t>Wiki maps risks directly</t>
        </is>
      </c>
      <c r="I663" s="6" t="inlineStr">
        <is>
          <t>Partial</t>
        </is>
      </c>
      <c r="J663" s="6" t="inlineStr">
        <is>
          <t>Wiki risks: AI-R08, AI-R27</t>
        </is>
      </c>
      <c r="K663" s="6" t="inlineStr">
        <is>
          <t>https://nachi065.github.io/AI-Security-Wiki/23_Framework_Crosswalks/18_AI_Risk_Map_Crosswalk.html</t>
        </is>
      </c>
    </row>
    <row r="664">
      <c r="A664" s="157" t="inlineStr">
        <is>
          <t>Risk frameworks</t>
        </is>
      </c>
      <c r="B664" s="157" t="inlineStr">
        <is>
          <t>AI Risk Map v1.3</t>
        </is>
      </c>
      <c r="C664" s="157" t="inlineStr">
        <is>
          <t>Map categories to wiki risks</t>
        </is>
      </c>
      <c r="D664" s="157" t="inlineStr">
        <is>
          <t>03 Quality and labeling</t>
        </is>
      </c>
      <c r="E664" s="157" t="inlineStr">
        <is>
          <t>Quality and labeling</t>
        </is>
      </c>
      <c r="F664" s="157" t="inlineStr">
        <is>
          <t>None</t>
        </is>
      </c>
      <c r="G664" s="157" t="inlineStr">
        <is>
          <t>AI-R17</t>
        </is>
      </c>
      <c r="H664" s="157" t="inlineStr">
        <is>
          <t>Wiki maps risks directly</t>
        </is>
      </c>
      <c r="I664" s="157" t="inlineStr">
        <is>
          <t>Direct</t>
        </is>
      </c>
      <c r="J664" s="157" t="inlineStr">
        <is>
          <t>Wiki risks: AI-R17</t>
        </is>
      </c>
      <c r="K664" s="157" t="inlineStr">
        <is>
          <t>https://nachi065.github.io/AI-Security-Wiki/23_Framework_Crosswalks/18_AI_Risk_Map_Crosswalk.html</t>
        </is>
      </c>
    </row>
    <row r="665">
      <c r="A665" s="6" t="inlineStr">
        <is>
          <t>Risk frameworks</t>
        </is>
      </c>
      <c r="B665" s="6" t="inlineStr">
        <is>
          <t>AI Risk Map v1.3</t>
        </is>
      </c>
      <c r="C665" s="6" t="inlineStr">
        <is>
          <t>Map categories to wiki risks</t>
        </is>
      </c>
      <c r="D665" s="6" t="inlineStr">
        <is>
          <t>03 Privacy and consent</t>
        </is>
      </c>
      <c r="E665" s="6" t="inlineStr">
        <is>
          <t>Privacy and consent</t>
        </is>
      </c>
      <c r="F665" s="6" t="inlineStr">
        <is>
          <t>None</t>
        </is>
      </c>
      <c r="G665" s="6" t="inlineStr">
        <is>
          <t>AI-R03, AI-R06, AI-R10, AI-R28, AI-R49</t>
        </is>
      </c>
      <c r="H665" s="6" t="inlineStr">
        <is>
          <t>Wiki maps risks directly</t>
        </is>
      </c>
      <c r="I665" s="6" t="inlineStr">
        <is>
          <t>Direct</t>
        </is>
      </c>
      <c r="J665" s="6" t="inlineStr">
        <is>
          <t>Wiki risks: AI-R03, AI-R06, AI-R10, AI-R28, AI-R49</t>
        </is>
      </c>
      <c r="K665" s="6" t="inlineStr">
        <is>
          <t>https://nachi065.github.io/AI-Security-Wiki/23_Framework_Crosswalks/18_AI_Risk_Map_Crosswalk.html</t>
        </is>
      </c>
    </row>
    <row r="666">
      <c r="A666" s="157" t="inlineStr">
        <is>
          <t>Risk frameworks</t>
        </is>
      </c>
      <c r="B666" s="157" t="inlineStr">
        <is>
          <t>AI Risk Map v1.3</t>
        </is>
      </c>
      <c r="C666" s="157" t="inlineStr">
        <is>
          <t>Map categories to wiki risks</t>
        </is>
      </c>
      <c r="D666" s="157" t="inlineStr">
        <is>
          <t>03 Training-data rights and IP</t>
        </is>
      </c>
      <c r="E666" s="157" t="inlineStr">
        <is>
          <t>Training-data rights and IP</t>
        </is>
      </c>
      <c r="F666" s="157" t="inlineStr">
        <is>
          <t>None</t>
        </is>
      </c>
      <c r="G666" s="157" t="inlineStr">
        <is>
          <t>AI-R27, AI-R36</t>
        </is>
      </c>
      <c r="H666" s="157" t="inlineStr">
        <is>
          <t>Wiki maps risks directly</t>
        </is>
      </c>
      <c r="I666" s="157" t="inlineStr">
        <is>
          <t>Direct</t>
        </is>
      </c>
      <c r="J666" s="157" t="inlineStr">
        <is>
          <t>Wiki risks: AI-R27, AI-R36</t>
        </is>
      </c>
      <c r="K666" s="157" t="inlineStr">
        <is>
          <t>https://nachi065.github.io/AI-Security-Wiki/23_Framework_Crosswalks/18_AI_Risk_Map_Crosswalk.html</t>
        </is>
      </c>
    </row>
    <row r="667">
      <c r="A667" s="6" t="inlineStr">
        <is>
          <t>Risk frameworks</t>
        </is>
      </c>
      <c r="B667" s="6" t="inlineStr">
        <is>
          <t>AI Risk Map v1.3</t>
        </is>
      </c>
      <c r="C667" s="6" t="inlineStr">
        <is>
          <t>Map categories to wiki risks</t>
        </is>
      </c>
      <c r="D667" s="6" t="inlineStr">
        <is>
          <t>03 Retention and disposal</t>
        </is>
      </c>
      <c r="E667" s="6" t="inlineStr">
        <is>
          <t>Retention and disposal</t>
        </is>
      </c>
      <c r="F667" s="6" t="inlineStr">
        <is>
          <t>None</t>
        </is>
      </c>
      <c r="G667" s="6" t="inlineStr">
        <is>
          <t>AI-R21, AI-R38, AI-R49</t>
        </is>
      </c>
      <c r="H667" s="6" t="inlineStr">
        <is>
          <t>Wiki maps risks directly</t>
        </is>
      </c>
      <c r="I667" s="6" t="inlineStr">
        <is>
          <t>Direct</t>
        </is>
      </c>
      <c r="J667" s="6" t="inlineStr">
        <is>
          <t>Wiki risks: AI-R38, AI-R21, AI-R49</t>
        </is>
      </c>
      <c r="K667" s="6" t="inlineStr">
        <is>
          <t>https://nachi065.github.io/AI-Security-Wiki/23_Framework_Crosswalks/18_AI_Risk_Map_Crosswalk.html</t>
        </is>
      </c>
    </row>
    <row r="668">
      <c r="A668" s="157" t="inlineStr">
        <is>
          <t>Risk frameworks</t>
        </is>
      </c>
      <c r="B668" s="157" t="inlineStr">
        <is>
          <t>AI Risk Map v1.3</t>
        </is>
      </c>
      <c r="C668" s="157" t="inlineStr">
        <is>
          <t>Map categories to wiki risks</t>
        </is>
      </c>
      <c r="D668" s="157" t="inlineStr">
        <is>
          <t>04 Design and training</t>
        </is>
      </c>
      <c r="E668" s="157" t="inlineStr">
        <is>
          <t>Design and training</t>
        </is>
      </c>
      <c r="F668" s="157" t="inlineStr">
        <is>
          <t>AI-CTRL-030</t>
        </is>
      </c>
      <c r="G668" s="157" t="inlineStr">
        <is>
          <t>AI-R08</t>
        </is>
      </c>
      <c r="H668" s="157" t="inlineStr">
        <is>
          <t>Wiki maps risks directly</t>
        </is>
      </c>
      <c r="I668" s="157" t="inlineStr">
        <is>
          <t>Partial</t>
        </is>
      </c>
      <c r="J668" s="157" t="inlineStr">
        <is>
          <t>Wiki risks: AI-R08</t>
        </is>
      </c>
      <c r="K668" s="157" t="inlineStr">
        <is>
          <t>https://nachi065.github.io/AI-Security-Wiki/23_Framework_Crosswalks/18_AI_Risk_Map_Crosswalk.html</t>
        </is>
      </c>
    </row>
    <row r="669">
      <c r="A669" s="6" t="inlineStr">
        <is>
          <t>Risk frameworks</t>
        </is>
      </c>
      <c r="B669" s="6" t="inlineStr">
        <is>
          <t>AI Risk Map v1.3</t>
        </is>
      </c>
      <c r="C669" s="6" t="inlineStr">
        <is>
          <t>Map categories to wiki risks</t>
        </is>
      </c>
      <c r="D669" s="6" t="inlineStr">
        <is>
          <t>04 Accuracy and validation</t>
        </is>
      </c>
      <c r="E669" s="6" t="inlineStr">
        <is>
          <t>Accuracy and validation</t>
        </is>
      </c>
      <c r="F669" s="6" t="inlineStr">
        <is>
          <t>None</t>
        </is>
      </c>
      <c r="G669" s="6" t="inlineStr">
        <is>
          <t>AI-R12, AI-R39</t>
        </is>
      </c>
      <c r="H669" s="6" t="inlineStr">
        <is>
          <t>Wiki maps risks directly</t>
        </is>
      </c>
      <c r="I669" s="6" t="inlineStr">
        <is>
          <t>Direct</t>
        </is>
      </c>
      <c r="J669" s="6" t="inlineStr">
        <is>
          <t>Wiki risks: AI-R12, AI-R39</t>
        </is>
      </c>
      <c r="K669" s="6" t="inlineStr">
        <is>
          <t>https://nachi065.github.io/AI-Security-Wiki/23_Framework_Crosswalks/18_AI_Risk_Map_Crosswalk.html</t>
        </is>
      </c>
    </row>
    <row r="670">
      <c r="A670" s="157" t="inlineStr">
        <is>
          <t>Risk frameworks</t>
        </is>
      </c>
      <c r="B670" s="157" t="inlineStr">
        <is>
          <t>AI Risk Map v1.3</t>
        </is>
      </c>
      <c r="C670" s="157" t="inlineStr">
        <is>
          <t>Map categories to wiki risks</t>
        </is>
      </c>
      <c r="D670" s="157" t="inlineStr">
        <is>
          <t>04 Robustness and drift</t>
        </is>
      </c>
      <c r="E670" s="157" t="inlineStr">
        <is>
          <t>Robustness and drift</t>
        </is>
      </c>
      <c r="F670" s="157" t="inlineStr">
        <is>
          <t>None</t>
        </is>
      </c>
      <c r="G670" s="157" t="inlineStr">
        <is>
          <t>AI-R16, AI-R17</t>
        </is>
      </c>
      <c r="H670" s="157" t="inlineStr">
        <is>
          <t>Wiki maps risks directly</t>
        </is>
      </c>
      <c r="I670" s="157" t="inlineStr">
        <is>
          <t>Direct</t>
        </is>
      </c>
      <c r="J670" s="157" t="inlineStr">
        <is>
          <t>Wiki risks: AI-R17, AI-R16</t>
        </is>
      </c>
      <c r="K670" s="157" t="inlineStr">
        <is>
          <t>https://nachi065.github.io/AI-Security-Wiki/23_Framework_Crosswalks/18_AI_Risk_Map_Crosswalk.html</t>
        </is>
      </c>
    </row>
    <row r="671">
      <c r="A671" s="6" t="inlineStr">
        <is>
          <t>Risk frameworks</t>
        </is>
      </c>
      <c r="B671" s="6" t="inlineStr">
        <is>
          <t>AI Risk Map v1.3</t>
        </is>
      </c>
      <c r="C671" s="6" t="inlineStr">
        <is>
          <t>Map categories to wiki risks</t>
        </is>
      </c>
      <c r="D671" s="6" t="inlineStr">
        <is>
          <t>04 Explainability</t>
        </is>
      </c>
      <c r="E671" s="6" t="inlineStr">
        <is>
          <t>Explainability</t>
        </is>
      </c>
      <c r="F671" s="6" t="inlineStr">
        <is>
          <t>None</t>
        </is>
      </c>
      <c r="G671" s="6" t="inlineStr">
        <is>
          <t>AI-R15</t>
        </is>
      </c>
      <c r="H671" s="6" t="inlineStr">
        <is>
          <t>Wiki maps risks directly</t>
        </is>
      </c>
      <c r="I671" s="6" t="inlineStr">
        <is>
          <t>Direct</t>
        </is>
      </c>
      <c r="J671" s="6" t="inlineStr">
        <is>
          <t>Wiki risks: AI-R15</t>
        </is>
      </c>
      <c r="K671" s="6" t="inlineStr">
        <is>
          <t>https://nachi065.github.io/AI-Security-Wiki/23_Framework_Crosswalks/18_AI_Risk_Map_Crosswalk.html</t>
        </is>
      </c>
    </row>
    <row r="672">
      <c r="A672" s="157" t="inlineStr">
        <is>
          <t>Risk frameworks</t>
        </is>
      </c>
      <c r="B672" s="157" t="inlineStr">
        <is>
          <t>AI Risk Map v1.3</t>
        </is>
      </c>
      <c r="C672" s="157" t="inlineStr">
        <is>
          <t>Map categories to wiki risks</t>
        </is>
      </c>
      <c r="D672" s="157" t="inlineStr">
        <is>
          <t>04 Reproducibility and documentation</t>
        </is>
      </c>
      <c r="E672" s="157" t="inlineStr">
        <is>
          <t>Reproducibility and documentation</t>
        </is>
      </c>
      <c r="F672" s="157" t="inlineStr">
        <is>
          <t>None</t>
        </is>
      </c>
      <c r="G672" s="157" t="inlineStr">
        <is>
          <t>AI-R09, AI-R15, AI-R50</t>
        </is>
      </c>
      <c r="H672" s="157" t="inlineStr">
        <is>
          <t>Wiki maps risks directly</t>
        </is>
      </c>
      <c r="I672" s="157" t="inlineStr">
        <is>
          <t>Direct</t>
        </is>
      </c>
      <c r="J672" s="157" t="inlineStr">
        <is>
          <t>Wiki risks: AI-R15, AI-R09, AI-R50</t>
        </is>
      </c>
      <c r="K672" s="157" t="inlineStr">
        <is>
          <t>https://nachi065.github.io/AI-Security-Wiki/23_Framework_Crosswalks/18_AI_Risk_Map_Crosswalk.html</t>
        </is>
      </c>
    </row>
    <row r="673">
      <c r="A673" s="6" t="inlineStr">
        <is>
          <t>Risk frameworks</t>
        </is>
      </c>
      <c r="B673" s="6" t="inlineStr">
        <is>
          <t>AI Risk Map v1.3</t>
        </is>
      </c>
      <c r="C673" s="6" t="inlineStr">
        <is>
          <t>Map categories to wiki risks</t>
        </is>
      </c>
      <c r="D673" s="6" t="inlineStr">
        <is>
          <t>05 Data and pipeline attacks</t>
        </is>
      </c>
      <c r="E673" s="6" t="inlineStr">
        <is>
          <t>Data and pipeline attacks</t>
        </is>
      </c>
      <c r="F673" s="6" t="inlineStr">
        <is>
          <t>AI-CTRL-019, AI-CTRL-029</t>
        </is>
      </c>
      <c r="G673" s="6" t="inlineStr">
        <is>
          <t>AI-R05, AI-R08</t>
        </is>
      </c>
      <c r="H673" s="6" t="inlineStr">
        <is>
          <t>Wiki maps risks directly</t>
        </is>
      </c>
      <c r="I673" s="6" t="inlineStr">
        <is>
          <t>Direct</t>
        </is>
      </c>
      <c r="J673" s="6" t="inlineStr">
        <is>
          <t>Wiki risks: AI-R08, AI-R05</t>
        </is>
      </c>
      <c r="K673" s="6" t="inlineStr">
        <is>
          <t>https://nachi065.github.io/AI-Security-Wiki/23_Framework_Crosswalks/18_AI_Risk_Map_Crosswalk.html</t>
        </is>
      </c>
    </row>
    <row r="674">
      <c r="A674" s="157" t="inlineStr">
        <is>
          <t>Risk frameworks</t>
        </is>
      </c>
      <c r="B674" s="157" t="inlineStr">
        <is>
          <t>AI Risk Map v1.3</t>
        </is>
      </c>
      <c r="C674" s="157" t="inlineStr">
        <is>
          <t>Map categories to wiki risks</t>
        </is>
      </c>
      <c r="D674" s="157" t="inlineStr">
        <is>
          <t>05 Model attacks</t>
        </is>
      </c>
      <c r="E674" s="157" t="inlineStr">
        <is>
          <t>Model attacks</t>
        </is>
      </c>
      <c r="F674" s="157" t="inlineStr">
        <is>
          <t>None</t>
        </is>
      </c>
      <c r="G674" s="157" t="inlineStr">
        <is>
          <t>AI-R08, AI-R47</t>
        </is>
      </c>
      <c r="H674" s="157" t="inlineStr">
        <is>
          <t>Wiki maps risks directly</t>
        </is>
      </c>
      <c r="I674" s="157" t="inlineStr">
        <is>
          <t>Direct</t>
        </is>
      </c>
      <c r="J674" s="157" t="inlineStr">
        <is>
          <t>Wiki risks: AI-R08, AI-R47</t>
        </is>
      </c>
      <c r="K674" s="157" t="inlineStr">
        <is>
          <t>https://nachi065.github.io/AI-Security-Wiki/23_Framework_Crosswalks/18_AI_Risk_Map_Crosswalk.html</t>
        </is>
      </c>
    </row>
    <row r="675">
      <c r="A675" s="6" t="inlineStr">
        <is>
          <t>Risk frameworks</t>
        </is>
      </c>
      <c r="B675" s="6" t="inlineStr">
        <is>
          <t>AI Risk Map v1.3</t>
        </is>
      </c>
      <c r="C675" s="6" t="inlineStr">
        <is>
          <t>Map categories to wiki risks</t>
        </is>
      </c>
      <c r="D675" s="6" t="inlineStr">
        <is>
          <t>05 Inference-time (input) attacks</t>
        </is>
      </c>
      <c r="E675" s="6" t="inlineStr">
        <is>
          <t>Inference-time (input) attacks</t>
        </is>
      </c>
      <c r="F675" s="6" t="inlineStr">
        <is>
          <t>None</t>
        </is>
      </c>
      <c r="G675" s="6" t="inlineStr">
        <is>
          <t>AI-R05, AI-R26</t>
        </is>
      </c>
      <c r="H675" s="6" t="inlineStr">
        <is>
          <t>Wiki maps risks directly</t>
        </is>
      </c>
      <c r="I675" s="6" t="inlineStr">
        <is>
          <t>Direct</t>
        </is>
      </c>
      <c r="J675" s="6" t="inlineStr">
        <is>
          <t>Wiki risks: AI-R05, AI-R26</t>
        </is>
      </c>
      <c r="K675" s="6" t="inlineStr">
        <is>
          <t>https://nachi065.github.io/AI-Security-Wiki/23_Framework_Crosswalks/18_AI_Risk_Map_Crosswalk.html</t>
        </is>
      </c>
    </row>
    <row r="676">
      <c r="A676" s="157" t="inlineStr">
        <is>
          <t>Risk frameworks</t>
        </is>
      </c>
      <c r="B676" s="157" t="inlineStr">
        <is>
          <t>AI Risk Map v1.3</t>
        </is>
      </c>
      <c r="C676" s="157" t="inlineStr">
        <is>
          <t>Map categories to wiki risks</t>
        </is>
      </c>
      <c r="D676" s="157" t="inlineStr">
        <is>
          <t>05 Output and integration security</t>
        </is>
      </c>
      <c r="E676" s="157" t="inlineStr">
        <is>
          <t>Output and integration security</t>
        </is>
      </c>
      <c r="F676" s="157" t="inlineStr">
        <is>
          <t>None</t>
        </is>
      </c>
      <c r="G676" s="157" t="inlineStr">
        <is>
          <t>AI-R06, AI-R07, AI-R24</t>
        </is>
      </c>
      <c r="H676" s="157" t="inlineStr">
        <is>
          <t>Wiki maps risks directly</t>
        </is>
      </c>
      <c r="I676" s="157" t="inlineStr">
        <is>
          <t>Direct</t>
        </is>
      </c>
      <c r="J676" s="157" t="inlineStr">
        <is>
          <t>Wiki risks: AI-R06, AI-R24, AI-R07</t>
        </is>
      </c>
      <c r="K676" s="157" t="inlineStr">
        <is>
          <t>https://nachi065.github.io/AI-Security-Wiki/23_Framework_Crosswalks/18_AI_Risk_Map_Crosswalk.html</t>
        </is>
      </c>
    </row>
    <row r="677">
      <c r="A677" s="6" t="inlineStr">
        <is>
          <t>Risk frameworks</t>
        </is>
      </c>
      <c r="B677" s="6" t="inlineStr">
        <is>
          <t>AI Risk Map v1.3</t>
        </is>
      </c>
      <c r="C677" s="6" t="inlineStr">
        <is>
          <t>Map categories to wiki risks</t>
        </is>
      </c>
      <c r="D677" s="6" t="inlineStr">
        <is>
          <t>05 Supply-chain and artifact integrity</t>
        </is>
      </c>
      <c r="E677" s="6" t="inlineStr">
        <is>
          <t>Supply-chain and artifact integrity</t>
        </is>
      </c>
      <c r="F677" s="6" t="inlineStr">
        <is>
          <t>None</t>
        </is>
      </c>
      <c r="G677" s="6" t="inlineStr">
        <is>
          <t>AI-R08, AI-R23, AI-R43</t>
        </is>
      </c>
      <c r="H677" s="6" t="inlineStr">
        <is>
          <t>Wiki maps risks directly</t>
        </is>
      </c>
      <c r="I677" s="6" t="inlineStr">
        <is>
          <t>Direct</t>
        </is>
      </c>
      <c r="J677" s="6" t="inlineStr">
        <is>
          <t>Wiki risks: AI-R08, AI-R23, AI-R43</t>
        </is>
      </c>
      <c r="K677" s="6" t="inlineStr">
        <is>
          <t>https://nachi065.github.io/AI-Security-Wiki/23_Framework_Crosswalks/18_AI_Risk_Map_Crosswalk.html</t>
        </is>
      </c>
    </row>
    <row r="678">
      <c r="A678" s="157" t="inlineStr">
        <is>
          <t>Risk frameworks</t>
        </is>
      </c>
      <c r="B678" s="157" t="inlineStr">
        <is>
          <t>AI Risk Map v1.3</t>
        </is>
      </c>
      <c r="C678" s="157" t="inlineStr">
        <is>
          <t>Map categories to wiki risks</t>
        </is>
      </c>
      <c r="D678" s="157" t="inlineStr">
        <is>
          <t>05 AI access and identity</t>
        </is>
      </c>
      <c r="E678" s="157" t="inlineStr">
        <is>
          <t>AI access and identity</t>
        </is>
      </c>
      <c r="F678" s="157" t="inlineStr">
        <is>
          <t>None</t>
        </is>
      </c>
      <c r="G678" s="157" t="inlineStr">
        <is>
          <t>AI-R06, AI-R22, AI-R46</t>
        </is>
      </c>
      <c r="H678" s="157" t="inlineStr">
        <is>
          <t>Wiki maps risks directly</t>
        </is>
      </c>
      <c r="I678" s="157" t="inlineStr">
        <is>
          <t>Direct</t>
        </is>
      </c>
      <c r="J678" s="157" t="inlineStr">
        <is>
          <t>Wiki risks: AI-R22, AI-R46, AI-R06</t>
        </is>
      </c>
      <c r="K678" s="157" t="inlineStr">
        <is>
          <t>https://nachi065.github.io/AI-Security-Wiki/23_Framework_Crosswalks/18_AI_Risk_Map_Crosswalk.html</t>
        </is>
      </c>
    </row>
    <row r="679">
      <c r="A679" s="6" t="inlineStr">
        <is>
          <t>Risk frameworks</t>
        </is>
      </c>
      <c r="B679" s="6" t="inlineStr">
        <is>
          <t>AI Risk Map v1.3</t>
        </is>
      </c>
      <c r="C679" s="6" t="inlineStr">
        <is>
          <t>Map categories to wiki risks</t>
        </is>
      </c>
      <c r="D679" s="6" t="inlineStr">
        <is>
          <t>06 Bias and fairness</t>
        </is>
      </c>
      <c r="E679" s="6" t="inlineStr">
        <is>
          <t>Bias and fairness</t>
        </is>
      </c>
      <c r="F679" s="6" t="inlineStr">
        <is>
          <t>None</t>
        </is>
      </c>
      <c r="G679" s="6" t="inlineStr">
        <is>
          <t>AI-R14, AI-R32</t>
        </is>
      </c>
      <c r="H679" s="6" t="inlineStr">
        <is>
          <t>Wiki maps risks directly</t>
        </is>
      </c>
      <c r="I679" s="6" t="inlineStr">
        <is>
          <t>Direct</t>
        </is>
      </c>
      <c r="J679" s="6" t="inlineStr">
        <is>
          <t>Wiki risks: AI-R14, AI-R32</t>
        </is>
      </c>
      <c r="K679" s="6" t="inlineStr">
        <is>
          <t>https://nachi065.github.io/AI-Security-Wiki/23_Framework_Crosswalks/18_AI_Risk_Map_Crosswalk.html</t>
        </is>
      </c>
    </row>
    <row r="680">
      <c r="A680" s="157" t="inlineStr">
        <is>
          <t>Risk frameworks</t>
        </is>
      </c>
      <c r="B680" s="157" t="inlineStr">
        <is>
          <t>AI Risk Map v1.3</t>
        </is>
      </c>
      <c r="C680" s="157" t="inlineStr">
        <is>
          <t>Map categories to wiki risks</t>
        </is>
      </c>
      <c r="D680" s="157" t="inlineStr">
        <is>
          <t>06 Harmful / inaccurate output</t>
        </is>
      </c>
      <c r="E680" s="157" t="inlineStr">
        <is>
          <t>Harmful / inaccurate output</t>
        </is>
      </c>
      <c r="F680" s="157" t="inlineStr">
        <is>
          <t>None</t>
        </is>
      </c>
      <c r="G680" s="157" t="inlineStr">
        <is>
          <t>AI-R12, AI-R20</t>
        </is>
      </c>
      <c r="H680" s="157" t="inlineStr">
        <is>
          <t>Wiki maps risks directly</t>
        </is>
      </c>
      <c r="I680" s="157" t="inlineStr">
        <is>
          <t>Direct</t>
        </is>
      </c>
      <c r="J680" s="157" t="inlineStr">
        <is>
          <t>Wiki risks: AI-R12, AI-R20</t>
        </is>
      </c>
      <c r="K680" s="157" t="inlineStr">
        <is>
          <t>https://nachi065.github.io/AI-Security-Wiki/23_Framework_Crosswalks/18_AI_Risk_Map_Crosswalk.html</t>
        </is>
      </c>
    </row>
    <row r="681">
      <c r="A681" s="6" t="inlineStr">
        <is>
          <t>Risk frameworks</t>
        </is>
      </c>
      <c r="B681" s="6" t="inlineStr">
        <is>
          <t>AI Risk Map v1.3</t>
        </is>
      </c>
      <c r="C681" s="6" t="inlineStr">
        <is>
          <t>Map categories to wiki risks</t>
        </is>
      </c>
      <c r="D681" s="6" t="inlineStr">
        <is>
          <t>06 Transparency, disclosure and provenance</t>
        </is>
      </c>
      <c r="E681" s="6" t="inlineStr">
        <is>
          <t>Transparency, disclosure and provenance</t>
        </is>
      </c>
      <c r="F681" s="6" t="inlineStr">
        <is>
          <t>None</t>
        </is>
      </c>
      <c r="G681" s="6" t="inlineStr">
        <is>
          <t>AI-R16, AI-R42, AI-R53</t>
        </is>
      </c>
      <c r="H681" s="6" t="inlineStr">
        <is>
          <t>Wiki maps risks directly</t>
        </is>
      </c>
      <c r="I681" s="6" t="inlineStr">
        <is>
          <t>Partial</t>
        </is>
      </c>
      <c r="J681" s="6" t="inlineStr">
        <is>
          <t>Wiki risks: AI-R42, AI-R16, AI-R53; What the match leaves out: Disclosure that a user is talking to AI is part of AI-R42 and labelling of generated content is AI-R53. Telling customers when your AI service changes has no separate risk.</t>
        </is>
      </c>
      <c r="K681" s="6" t="inlineStr">
        <is>
          <t>https://nachi065.github.io/AI-Security-Wiki/23_Framework_Crosswalks/18_AI_Risk_Map_Crosswalk.html</t>
        </is>
      </c>
    </row>
    <row r="682">
      <c r="A682" s="157" t="inlineStr">
        <is>
          <t>Risk frameworks</t>
        </is>
      </c>
      <c r="B682" s="157" t="inlineStr">
        <is>
          <t>AI Risk Map v1.3</t>
        </is>
      </c>
      <c r="C682" s="157" t="inlineStr">
        <is>
          <t>Map categories to wiki risks</t>
        </is>
      </c>
      <c r="D682" s="157" t="inlineStr">
        <is>
          <t>06 Misuse and dual-use</t>
        </is>
      </c>
      <c r="E682" s="157" t="inlineStr">
        <is>
          <t>Misuse and dual-use</t>
        </is>
      </c>
      <c r="F682" s="157" t="inlineStr">
        <is>
          <t>None</t>
        </is>
      </c>
      <c r="G682" s="157" t="inlineStr">
        <is>
          <t>AI-R12</t>
        </is>
      </c>
      <c r="H682" s="157" t="inlineStr">
        <is>
          <t>Wiki maps risks directly</t>
        </is>
      </c>
      <c r="I682" s="157" t="inlineStr">
        <is>
          <t>Partial</t>
        </is>
      </c>
      <c r="J682" s="157" t="inlineStr">
        <is>
          <t>Wiki risks: AI-R12; What the match leaves out: Treated as one kind of harmful output, as in the NIST AI 600-1 Crosswalk.</t>
        </is>
      </c>
      <c r="K682" s="157" t="inlineStr">
        <is>
          <t>https://nachi065.github.io/AI-Security-Wiki/23_Framework_Crosswalks/18_AI_Risk_Map_Crosswalk.html</t>
        </is>
      </c>
    </row>
    <row r="683">
      <c r="A683" s="6" t="inlineStr">
        <is>
          <t>Risk frameworks</t>
        </is>
      </c>
      <c r="B683" s="6" t="inlineStr">
        <is>
          <t>AI Risk Map v1.3</t>
        </is>
      </c>
      <c r="C683" s="6" t="inlineStr">
        <is>
          <t>Map categories to wiki risks</t>
        </is>
      </c>
      <c r="D683" s="6" t="inlineStr">
        <is>
          <t>06 Human agency and over-reliance</t>
        </is>
      </c>
      <c r="E683" s="6" t="inlineStr">
        <is>
          <t>Human agency and over-reliance</t>
        </is>
      </c>
      <c r="F683" s="6" t="inlineStr">
        <is>
          <t>None</t>
        </is>
      </c>
      <c r="G683" s="6" t="inlineStr">
        <is>
          <t>AI-R19, AI-R42</t>
        </is>
      </c>
      <c r="H683" s="6" t="inlineStr">
        <is>
          <t>Wiki maps risks directly</t>
        </is>
      </c>
      <c r="I683" s="6" t="inlineStr">
        <is>
          <t>Direct</t>
        </is>
      </c>
      <c r="J683" s="6" t="inlineStr">
        <is>
          <t>Wiki risks: AI-R19, AI-R42</t>
        </is>
      </c>
      <c r="K683" s="6" t="inlineStr">
        <is>
          <t>https://nachi065.github.io/AI-Security-Wiki/23_Framework_Crosswalks/18_AI_Risk_Map_Crosswalk.html</t>
        </is>
      </c>
    </row>
    <row r="684">
      <c r="A684" s="157" t="inlineStr">
        <is>
          <t>Risk frameworks</t>
        </is>
      </c>
      <c r="B684" s="157" t="inlineStr">
        <is>
          <t>AI Risk Map v1.3</t>
        </is>
      </c>
      <c r="C684" s="157" t="inlineStr">
        <is>
          <t>Map categories to wiki risks</t>
        </is>
      </c>
      <c r="D684" s="157" t="inlineStr">
        <is>
          <t>07 MLOps and deployment</t>
        </is>
      </c>
      <c r="E684" s="157" t="inlineStr">
        <is>
          <t>MLOps and deployment</t>
        </is>
      </c>
      <c r="F684" s="157" t="inlineStr">
        <is>
          <t>None</t>
        </is>
      </c>
      <c r="G684" s="157" t="inlineStr">
        <is>
          <t>AI-R02, AI-R16, AI-R50</t>
        </is>
      </c>
      <c r="H684" s="157" t="inlineStr">
        <is>
          <t>Wiki maps risks directly</t>
        </is>
      </c>
      <c r="I684" s="157" t="inlineStr">
        <is>
          <t>Direct</t>
        </is>
      </c>
      <c r="J684" s="157" t="inlineStr">
        <is>
          <t>Wiki risks: AI-R02, AI-R16, AI-R50</t>
        </is>
      </c>
      <c r="K684" s="157" t="inlineStr">
        <is>
          <t>https://nachi065.github.io/AI-Security-Wiki/23_Framework_Crosswalks/18_AI_Risk_Map_Crosswalk.html</t>
        </is>
      </c>
    </row>
    <row r="685">
      <c r="A685" s="6" t="inlineStr">
        <is>
          <t>Risk frameworks</t>
        </is>
      </c>
      <c r="B685" s="6" t="inlineStr">
        <is>
          <t>AI Risk Map v1.3</t>
        </is>
      </c>
      <c r="C685" s="6" t="inlineStr">
        <is>
          <t>Map categories to wiki risks</t>
        </is>
      </c>
      <c r="D685" s="6" t="inlineStr">
        <is>
          <t>07 Monitoring and observability</t>
        </is>
      </c>
      <c r="E685" s="6" t="inlineStr">
        <is>
          <t>Monitoring and observability</t>
        </is>
      </c>
      <c r="F685" s="6" t="inlineStr">
        <is>
          <t>None</t>
        </is>
      </c>
      <c r="G685" s="6" t="inlineStr">
        <is>
          <t>AI-R09, AI-R45</t>
        </is>
      </c>
      <c r="H685" s="6" t="inlineStr">
        <is>
          <t>Wiki maps risks directly</t>
        </is>
      </c>
      <c r="I685" s="6" t="inlineStr">
        <is>
          <t>Direct</t>
        </is>
      </c>
      <c r="J685" s="6" t="inlineStr">
        <is>
          <t>Wiki risks: AI-R09, AI-R45</t>
        </is>
      </c>
      <c r="K685" s="6" t="inlineStr">
        <is>
          <t>https://nachi065.github.io/AI-Security-Wiki/23_Framework_Crosswalks/18_AI_Risk_Map_Crosswalk.html</t>
        </is>
      </c>
    </row>
    <row r="686">
      <c r="A686" s="157" t="inlineStr">
        <is>
          <t>Risk frameworks</t>
        </is>
      </c>
      <c r="B686" s="157" t="inlineStr">
        <is>
          <t>AI Risk Map v1.3</t>
        </is>
      </c>
      <c r="C686" s="157" t="inlineStr">
        <is>
          <t>Map categories to wiki risks</t>
        </is>
      </c>
      <c r="D686" s="157" t="inlineStr">
        <is>
          <t>07 Availability and scalability</t>
        </is>
      </c>
      <c r="E686" s="157" t="inlineStr">
        <is>
          <t>Availability and scalability</t>
        </is>
      </c>
      <c r="F686" s="157" t="inlineStr">
        <is>
          <t>None</t>
        </is>
      </c>
      <c r="G686" s="157" t="inlineStr">
        <is>
          <t>AI-R11, AI-R13</t>
        </is>
      </c>
      <c r="H686" s="157" t="inlineStr">
        <is>
          <t>Wiki maps risks directly</t>
        </is>
      </c>
      <c r="I686" s="157" t="inlineStr">
        <is>
          <t>Direct</t>
        </is>
      </c>
      <c r="J686" s="157" t="inlineStr">
        <is>
          <t>Wiki risks: AI-R13, AI-R11</t>
        </is>
      </c>
      <c r="K686" s="157" t="inlineStr">
        <is>
          <t>https://nachi065.github.io/AI-Security-Wiki/23_Framework_Crosswalks/18_AI_Risk_Map_Crosswalk.html</t>
        </is>
      </c>
    </row>
    <row r="687">
      <c r="A687" s="6" t="inlineStr">
        <is>
          <t>Risk frameworks</t>
        </is>
      </c>
      <c r="B687" s="6" t="inlineStr">
        <is>
          <t>AI Risk Map v1.3</t>
        </is>
      </c>
      <c r="C687" s="6" t="inlineStr">
        <is>
          <t>Map categories to wiki risks</t>
        </is>
      </c>
      <c r="D687" s="6" t="inlineStr">
        <is>
          <t>07 Incident management</t>
        </is>
      </c>
      <c r="E687" s="6" t="inlineStr">
        <is>
          <t>Incident management</t>
        </is>
      </c>
      <c r="F687" s="6" t="inlineStr">
        <is>
          <t>None</t>
        </is>
      </c>
      <c r="G687" s="6" t="inlineStr">
        <is>
          <t>AI-R09, AI-R48</t>
        </is>
      </c>
      <c r="H687" s="6" t="inlineStr">
        <is>
          <t>Wiki maps risks directly</t>
        </is>
      </c>
      <c r="I687" s="6" t="inlineStr">
        <is>
          <t>Direct</t>
        </is>
      </c>
      <c r="J687" s="6" t="inlineStr">
        <is>
          <t>Wiki risks: AI-R09, AI-R48</t>
        </is>
      </c>
      <c r="K687" s="6" t="inlineStr">
        <is>
          <t>https://nachi065.github.io/AI-Security-Wiki/23_Framework_Crosswalks/18_AI_Risk_Map_Crosswalk.html</t>
        </is>
      </c>
    </row>
    <row r="688">
      <c r="A688" s="157" t="inlineStr">
        <is>
          <t>Risk frameworks</t>
        </is>
      </c>
      <c r="B688" s="157" t="inlineStr">
        <is>
          <t>AI Risk Map v1.3</t>
        </is>
      </c>
      <c r="C688" s="157" t="inlineStr">
        <is>
          <t>Map categories to wiki risks</t>
        </is>
      </c>
      <c r="D688" s="157" t="inlineStr">
        <is>
          <t>07 Change and lifecycle management</t>
        </is>
      </c>
      <c r="E688" s="157" t="inlineStr">
        <is>
          <t>Change and lifecycle management</t>
        </is>
      </c>
      <c r="F688" s="157" t="inlineStr">
        <is>
          <t>None</t>
        </is>
      </c>
      <c r="G688" s="157" t="inlineStr">
        <is>
          <t>AI-R16, AI-R31</t>
        </is>
      </c>
      <c r="H688" s="157" t="inlineStr">
        <is>
          <t>Wiki maps risks directly</t>
        </is>
      </c>
      <c r="I688" s="157" t="inlineStr">
        <is>
          <t>Direct</t>
        </is>
      </c>
      <c r="J688" s="157" t="inlineStr">
        <is>
          <t>Wiki risks: AI-R16, AI-R31</t>
        </is>
      </c>
      <c r="K688" s="157" t="inlineStr">
        <is>
          <t>https://nachi065.github.io/AI-Security-Wiki/23_Framework_Crosswalks/18_AI_Risk_Map_Crosswalk.html</t>
        </is>
      </c>
    </row>
    <row r="689">
      <c r="A689" s="6" t="inlineStr">
        <is>
          <t>Risk frameworks</t>
        </is>
      </c>
      <c r="B689" s="6" t="inlineStr">
        <is>
          <t>AI Risk Map v1.3</t>
        </is>
      </c>
      <c r="C689" s="6" t="inlineStr">
        <is>
          <t>Map categories to wiki risks</t>
        </is>
      </c>
      <c r="D689" s="6" t="inlineStr">
        <is>
          <t>08 Regulatory compliance</t>
        </is>
      </c>
      <c r="E689" s="6" t="inlineStr">
        <is>
          <t>Regulatory compliance</t>
        </is>
      </c>
      <c r="F689" s="6" t="inlineStr">
        <is>
          <t>None</t>
        </is>
      </c>
      <c r="G689" s="6" t="inlineStr">
        <is>
          <t>AI-R28, AI-R37</t>
        </is>
      </c>
      <c r="H689" s="6" t="inlineStr">
        <is>
          <t>Wiki maps risks directly</t>
        </is>
      </c>
      <c r="I689" s="6" t="inlineStr">
        <is>
          <t>Direct</t>
        </is>
      </c>
      <c r="J689" s="6" t="inlineStr">
        <is>
          <t>Wiki risks: AI-R28, AI-R37</t>
        </is>
      </c>
      <c r="K689" s="6" t="inlineStr">
        <is>
          <t>https://nachi065.github.io/AI-Security-Wiki/23_Framework_Crosswalks/18_AI_Risk_Map_Crosswalk.html</t>
        </is>
      </c>
    </row>
    <row r="690">
      <c r="A690" s="157" t="inlineStr">
        <is>
          <t>Risk frameworks</t>
        </is>
      </c>
      <c r="B690" s="157" t="inlineStr">
        <is>
          <t>AI Risk Map v1.3</t>
        </is>
      </c>
      <c r="C690" s="157" t="inlineStr">
        <is>
          <t>Map categories to wiki risks</t>
        </is>
      </c>
      <c r="D690" s="157" t="inlineStr">
        <is>
          <t>08 IP and liability</t>
        </is>
      </c>
      <c r="E690" s="157" t="inlineStr">
        <is>
          <t>IP and liability</t>
        </is>
      </c>
      <c r="F690" s="157" t="inlineStr">
        <is>
          <t>None</t>
        </is>
      </c>
      <c r="G690" s="157" t="inlineStr">
        <is>
          <t>AI-R27, AI-R36, AI-R51</t>
        </is>
      </c>
      <c r="H690" s="157" t="inlineStr">
        <is>
          <t>Wiki maps risks directly</t>
        </is>
      </c>
      <c r="I690" s="157" t="inlineStr">
        <is>
          <t>Direct</t>
        </is>
      </c>
      <c r="J690" s="157" t="inlineStr">
        <is>
          <t>Wiki risks: AI-R27, AI-R36, AI-R51</t>
        </is>
      </c>
      <c r="K690" s="157" t="inlineStr">
        <is>
          <t>https://nachi065.github.io/AI-Security-Wiki/23_Framework_Crosswalks/18_AI_Risk_Map_Crosswalk.html</t>
        </is>
      </c>
    </row>
    <row r="691">
      <c r="A691" s="6" t="inlineStr">
        <is>
          <t>Risk frameworks</t>
        </is>
      </c>
      <c r="B691" s="6" t="inlineStr">
        <is>
          <t>AI Risk Map v1.3</t>
        </is>
      </c>
      <c r="C691" s="6" t="inlineStr">
        <is>
          <t>Map categories to wiki risks</t>
        </is>
      </c>
      <c r="D691" s="6" t="inlineStr">
        <is>
          <t>08 Contractual and licensing</t>
        </is>
      </c>
      <c r="E691" s="6" t="inlineStr">
        <is>
          <t>Contractual and licensing</t>
        </is>
      </c>
      <c r="F691" s="6" t="inlineStr">
        <is>
          <t>AI-CTRL-014</t>
        </is>
      </c>
      <c r="G691" s="6" t="inlineStr">
        <is>
          <t>AI-R10, AI-R36</t>
        </is>
      </c>
      <c r="H691" s="6" t="inlineStr">
        <is>
          <t>Wiki maps risks directly</t>
        </is>
      </c>
      <c r="I691" s="6" t="inlineStr">
        <is>
          <t>Partial</t>
        </is>
      </c>
      <c r="J691" s="6" t="inlineStr">
        <is>
          <t>Wiki risks: AI-R36, AI-R10</t>
        </is>
      </c>
      <c r="K691" s="6" t="inlineStr">
        <is>
          <t>https://nachi065.github.io/AI-Security-Wiki/23_Framework_Crosswalks/18_AI_Risk_Map_Crosswalk.html</t>
        </is>
      </c>
    </row>
    <row r="692">
      <c r="A692" s="157" t="inlineStr">
        <is>
          <t>Risk frameworks</t>
        </is>
      </c>
      <c r="B692" s="157" t="inlineStr">
        <is>
          <t>AI Risk Map v1.3</t>
        </is>
      </c>
      <c r="C692" s="157" t="inlineStr">
        <is>
          <t>Map categories to wiki risks</t>
        </is>
      </c>
      <c r="D692" s="157" t="inlineStr">
        <is>
          <t>08 Cross-border</t>
        </is>
      </c>
      <c r="E692" s="157" t="inlineStr">
        <is>
          <t>Cross-border</t>
        </is>
      </c>
      <c r="F692" s="157" t="inlineStr">
        <is>
          <t>None</t>
        </is>
      </c>
      <c r="G692" s="157" t="inlineStr">
        <is>
          <t>AI-R10</t>
        </is>
      </c>
      <c r="H692" s="157" t="inlineStr">
        <is>
          <t>Wiki maps risks directly</t>
        </is>
      </c>
      <c r="I692" s="157" t="inlineStr">
        <is>
          <t>Direct</t>
        </is>
      </c>
      <c r="J692" s="157" t="inlineStr">
        <is>
          <t>Wiki risks: AI-R10</t>
        </is>
      </c>
      <c r="K692" s="157" t="inlineStr">
        <is>
          <t>https://nachi065.github.io/AI-Security-Wiki/23_Framework_Crosswalks/18_AI_Risk_Map_Crosswalk.html</t>
        </is>
      </c>
    </row>
    <row r="693">
      <c r="A693" s="6" t="inlineStr">
        <is>
          <t>Risk frameworks</t>
        </is>
      </c>
      <c r="B693" s="6" t="inlineStr">
        <is>
          <t>AI Risk Map v1.3</t>
        </is>
      </c>
      <c r="C693" s="6" t="inlineStr">
        <is>
          <t>Map categories to wiki risks</t>
        </is>
      </c>
      <c r="D693" s="6" t="inlineStr">
        <is>
          <t>09 Foundation-model dependence</t>
        </is>
      </c>
      <c r="E693" s="6" t="inlineStr">
        <is>
          <t>Foundation-model dependence</t>
        </is>
      </c>
      <c r="F693" s="6" t="inlineStr">
        <is>
          <t>None</t>
        </is>
      </c>
      <c r="G693" s="6" t="inlineStr">
        <is>
          <t>AI-R31, AI-R32</t>
        </is>
      </c>
      <c r="H693" s="6" t="inlineStr">
        <is>
          <t>Wiki maps risks directly</t>
        </is>
      </c>
      <c r="I693" s="6" t="inlineStr">
        <is>
          <t>Direct</t>
        </is>
      </c>
      <c r="J693" s="6" t="inlineStr">
        <is>
          <t>Wiki risks: AI-R31, AI-R32</t>
        </is>
      </c>
      <c r="K693" s="6" t="inlineStr">
        <is>
          <t>https://nachi065.github.io/AI-Security-Wiki/23_Framework_Crosswalks/18_AI_Risk_Map_Crosswalk.html</t>
        </is>
      </c>
    </row>
    <row r="694">
      <c r="A694" s="157" t="inlineStr">
        <is>
          <t>Risk frameworks</t>
        </is>
      </c>
      <c r="B694" s="157" t="inlineStr">
        <is>
          <t>AI Risk Map v1.3</t>
        </is>
      </c>
      <c r="C694" s="157" t="inlineStr">
        <is>
          <t>Map categories to wiki risks</t>
        </is>
      </c>
      <c r="D694" s="157" t="inlineStr">
        <is>
          <t>09 Vendor due diligence</t>
        </is>
      </c>
      <c r="E694" s="157" t="inlineStr">
        <is>
          <t>Vendor due diligence</t>
        </is>
      </c>
      <c r="F694" s="157" t="inlineStr">
        <is>
          <t>AI-CTRL-014</t>
        </is>
      </c>
      <c r="G694" s="157" t="inlineStr">
        <is>
          <t>AI-R10, AI-R41</t>
        </is>
      </c>
      <c r="H694" s="157" t="inlineStr">
        <is>
          <t>Wiki maps risks directly</t>
        </is>
      </c>
      <c r="I694" s="157" t="inlineStr">
        <is>
          <t>Partial</t>
        </is>
      </c>
      <c r="J694" s="157" t="inlineStr">
        <is>
          <t>Wiki risks: AI-R10, AI-R41</t>
        </is>
      </c>
      <c r="K694" s="157" t="inlineStr">
        <is>
          <t>https://nachi065.github.io/AI-Security-Wiki/23_Framework_Crosswalks/18_AI_Risk_Map_Crosswalk.html</t>
        </is>
      </c>
    </row>
    <row r="695">
      <c r="A695" s="6" t="inlineStr">
        <is>
          <t>Risk frameworks</t>
        </is>
      </c>
      <c r="B695" s="6" t="inlineStr">
        <is>
          <t>AI Risk Map v1.3</t>
        </is>
      </c>
      <c r="C695" s="6" t="inlineStr">
        <is>
          <t>Map categories to wiki risks</t>
        </is>
      </c>
      <c r="D695" s="6" t="inlineStr">
        <is>
          <t>09 Lock-in and portability</t>
        </is>
      </c>
      <c r="E695" s="6" t="inlineStr">
        <is>
          <t>Lock-in and portability</t>
        </is>
      </c>
      <c r="F695" s="6" t="inlineStr">
        <is>
          <t>None</t>
        </is>
      </c>
      <c r="G695" s="6" t="inlineStr">
        <is>
          <t>AI-R31</t>
        </is>
      </c>
      <c r="H695" s="6" t="inlineStr">
        <is>
          <t>Wiki maps risks directly</t>
        </is>
      </c>
      <c r="I695" s="6" t="inlineStr">
        <is>
          <t>Direct</t>
        </is>
      </c>
      <c r="J695" s="6" t="inlineStr">
        <is>
          <t>Wiki risks: AI-R31</t>
        </is>
      </c>
      <c r="K695" s="6" t="inlineStr">
        <is>
          <t>https://nachi065.github.io/AI-Security-Wiki/23_Framework_Crosswalks/18_AI_Risk_Map_Crosswalk.html</t>
        </is>
      </c>
    </row>
    <row r="696">
      <c r="A696" s="157" t="inlineStr">
        <is>
          <t>Risk frameworks</t>
        </is>
      </c>
      <c r="B696" s="157" t="inlineStr">
        <is>
          <t>AI Risk Map v1.3</t>
        </is>
      </c>
      <c r="C696" s="157" t="inlineStr">
        <is>
          <t>Map categories to wiki risks</t>
        </is>
      </c>
      <c r="D696" s="157" t="inlineStr">
        <is>
          <t>09 Open-source component risk</t>
        </is>
      </c>
      <c r="E696" s="157" t="inlineStr">
        <is>
          <t>Open-source component risk</t>
        </is>
      </c>
      <c r="F696" s="157" t="inlineStr">
        <is>
          <t>None</t>
        </is>
      </c>
      <c r="G696" s="157" t="inlineStr">
        <is>
          <t>AI-R08, AI-R44, AI-R52</t>
        </is>
      </c>
      <c r="H696" s="157" t="inlineStr">
        <is>
          <t>Wiki maps risks directly</t>
        </is>
      </c>
      <c r="I696" s="157" t="inlineStr">
        <is>
          <t>Direct</t>
        </is>
      </c>
      <c r="J696" s="157" t="inlineStr">
        <is>
          <t>Wiki risks: AI-R08, AI-R44, AI-R52</t>
        </is>
      </c>
      <c r="K696" s="157" t="inlineStr">
        <is>
          <t>https://nachi065.github.io/AI-Security-Wiki/23_Framework_Crosswalks/18_AI_Risk_Map_Crosswalk.html</t>
        </is>
      </c>
    </row>
    <row r="697">
      <c r="A697" s="6" t="inlineStr">
        <is>
          <t>Risk frameworks</t>
        </is>
      </c>
      <c r="B697" s="6" t="inlineStr">
        <is>
          <t>AI Risk Map v1.3</t>
        </is>
      </c>
      <c r="C697" s="6" t="inlineStr">
        <is>
          <t>Map categories to wiki risks</t>
        </is>
      </c>
      <c r="D697" s="6" t="inlineStr">
        <is>
          <t>10 Skills and talent</t>
        </is>
      </c>
      <c r="E697" s="6" t="inlineStr">
        <is>
          <t>Skills and talent</t>
        </is>
      </c>
      <c r="F697" s="6" t="inlineStr">
        <is>
          <t>None</t>
        </is>
      </c>
      <c r="G697" s="6" t="inlineStr">
        <is>
          <t>AI-R33, AI-R34</t>
        </is>
      </c>
      <c r="H697" s="6" t="inlineStr">
        <is>
          <t>Wiki maps risks directly</t>
        </is>
      </c>
      <c r="I697" s="6" t="inlineStr">
        <is>
          <t>Direct</t>
        </is>
      </c>
      <c r="J697" s="6" t="inlineStr">
        <is>
          <t>Wiki risks: AI-R34, AI-R33</t>
        </is>
      </c>
      <c r="K697" s="6" t="inlineStr">
        <is>
          <t>https://nachi065.github.io/AI-Security-Wiki/23_Framework_Crosswalks/18_AI_Risk_Map_Crosswalk.html</t>
        </is>
      </c>
    </row>
    <row r="698">
      <c r="A698" s="157" t="inlineStr">
        <is>
          <t>Risk frameworks</t>
        </is>
      </c>
      <c r="B698" s="157" t="inlineStr">
        <is>
          <t>AI Risk Map v1.3</t>
        </is>
      </c>
      <c r="C698" s="157" t="inlineStr">
        <is>
          <t>Map categories to wiki risks</t>
        </is>
      </c>
      <c r="D698" s="157" t="inlineStr">
        <is>
          <t>10 Deskilling and loss of institutional knowledge</t>
        </is>
      </c>
      <c r="E698" s="157" t="inlineStr">
        <is>
          <t>Deskilling and loss of institutional knowledge</t>
        </is>
      </c>
      <c r="F698" s="157" t="inlineStr">
        <is>
          <t>None</t>
        </is>
      </c>
      <c r="G698" s="157" t="inlineStr">
        <is>
          <t>AI-R33</t>
        </is>
      </c>
      <c r="H698" s="157" t="inlineStr">
        <is>
          <t>Wiki maps risks directly</t>
        </is>
      </c>
      <c r="I698" s="157" t="inlineStr">
        <is>
          <t>Direct</t>
        </is>
      </c>
      <c r="J698" s="157" t="inlineStr">
        <is>
          <t>Wiki risks: AI-R33</t>
        </is>
      </c>
      <c r="K698" s="157" t="inlineStr">
        <is>
          <t>https://nachi065.github.io/AI-Security-Wiki/23_Framework_Crosswalks/18_AI_Risk_Map_Crosswalk.html</t>
        </is>
      </c>
    </row>
    <row r="699">
      <c r="A699" s="6" t="inlineStr">
        <is>
          <t>Risk frameworks</t>
        </is>
      </c>
      <c r="B699" s="6" t="inlineStr">
        <is>
          <t>AI Risk Map v1.3</t>
        </is>
      </c>
      <c r="C699" s="6" t="inlineStr">
        <is>
          <t>Map categories to wiki risks</t>
        </is>
      </c>
      <c r="D699" s="6" t="inlineStr">
        <is>
          <t>10 Workforce disruption / change</t>
        </is>
      </c>
      <c r="E699" s="6" t="inlineStr">
        <is>
          <t>Workforce disruption / change</t>
        </is>
      </c>
      <c r="F699" s="6" t="inlineStr">
        <is>
          <t>None</t>
        </is>
      </c>
      <c r="G699" s="6" t="inlineStr">
        <is>
          <t>AI-R34</t>
        </is>
      </c>
      <c r="H699" s="6" t="inlineStr">
        <is>
          <t>Wiki maps risks directly</t>
        </is>
      </c>
      <c r="I699" s="6" t="inlineStr">
        <is>
          <t>Direct</t>
        </is>
      </c>
      <c r="J699" s="6" t="inlineStr">
        <is>
          <t>Wiki risks: AI-R34</t>
        </is>
      </c>
      <c r="K699" s="6" t="inlineStr">
        <is>
          <t>https://nachi065.github.io/AI-Security-Wiki/23_Framework_Crosswalks/18_AI_Risk_Map_Crosswalk.html</t>
        </is>
      </c>
    </row>
    <row r="700">
      <c r="A700" s="157" t="inlineStr">
        <is>
          <t>Risk frameworks</t>
        </is>
      </c>
      <c r="B700" s="157" t="inlineStr">
        <is>
          <t>AI Risk Map v1.3</t>
        </is>
      </c>
      <c r="C700" s="157" t="inlineStr">
        <is>
          <t>Map categories to wiki risks</t>
        </is>
      </c>
      <c r="D700" s="157" t="inlineStr">
        <is>
          <t>10 Societal and reputational</t>
        </is>
      </c>
      <c r="E700" s="157" t="inlineStr">
        <is>
          <t>Societal and reputational</t>
        </is>
      </c>
      <c r="F700" s="157" t="inlineStr">
        <is>
          <t>AI-CTRL-042</t>
        </is>
      </c>
      <c r="G700" s="157" t="inlineStr">
        <is>
          <t>AI-R20, AI-R41</t>
        </is>
      </c>
      <c r="H700" s="157" t="inlineStr">
        <is>
          <t>Wiki maps risks directly</t>
        </is>
      </c>
      <c r="I700" s="157" t="inlineStr">
        <is>
          <t>Partial</t>
        </is>
      </c>
      <c r="J700" s="157" t="inlineStr">
        <is>
          <t>Wiki risks: AI-R20, AI-R41</t>
        </is>
      </c>
      <c r="K700" s="157" t="inlineStr">
        <is>
          <t>https://nachi065.github.io/AI-Security-Wiki/23_Framework_Crosswalks/18_AI_Risk_Map_Crosswalk.html</t>
        </is>
      </c>
    </row>
    <row r="701">
      <c r="A701" s="6" t="inlineStr">
        <is>
          <t>Risk frameworks</t>
        </is>
      </c>
      <c r="B701" s="6" t="inlineStr">
        <is>
          <t>AI Risk Map v1.3</t>
        </is>
      </c>
      <c r="C701" s="6" t="inlineStr">
        <is>
          <t>Map categories to wiki risks</t>
        </is>
      </c>
      <c r="D701" s="6" t="inlineStr">
        <is>
          <t>11 Cost and compute economics</t>
        </is>
      </c>
      <c r="E701" s="6" t="inlineStr">
        <is>
          <t>Cost and compute economics</t>
        </is>
      </c>
      <c r="F701" s="6" t="inlineStr">
        <is>
          <t>None</t>
        </is>
      </c>
      <c r="G701" s="6" t="inlineStr">
        <is>
          <t>AI-R11, AI-R30, AI-R35</t>
        </is>
      </c>
      <c r="H701" s="6" t="inlineStr">
        <is>
          <t>Wiki maps risks directly</t>
        </is>
      </c>
      <c r="I701" s="6" t="inlineStr">
        <is>
          <t>Direct</t>
        </is>
      </c>
      <c r="J701" s="6" t="inlineStr">
        <is>
          <t>Wiki risks: AI-R11, AI-R30, AI-R35</t>
        </is>
      </c>
      <c r="K701" s="6" t="inlineStr">
        <is>
          <t>https://nachi065.github.io/AI-Security-Wiki/23_Framework_Crosswalks/18_AI_Risk_Map_Crosswalk.html</t>
        </is>
      </c>
    </row>
    <row r="702">
      <c r="A702" s="157" t="inlineStr">
        <is>
          <t>Risk frameworks</t>
        </is>
      </c>
      <c r="B702" s="157" t="inlineStr">
        <is>
          <t>AI Risk Map v1.3</t>
        </is>
      </c>
      <c r="C702" s="157" t="inlineStr">
        <is>
          <t>Map categories to wiki risks</t>
        </is>
      </c>
      <c r="D702" s="157" t="inlineStr">
        <is>
          <t>11 Investment / procurement</t>
        </is>
      </c>
      <c r="E702" s="157" t="inlineStr">
        <is>
          <t>Investment / procurement</t>
        </is>
      </c>
      <c r="F702" s="157" t="inlineStr">
        <is>
          <t>None</t>
        </is>
      </c>
      <c r="G702" s="157" t="inlineStr">
        <is>
          <t>AI-R30</t>
        </is>
      </c>
      <c r="H702" s="157" t="inlineStr">
        <is>
          <t>Wiki maps risks directly</t>
        </is>
      </c>
      <c r="I702" s="157" t="inlineStr">
        <is>
          <t>Direct</t>
        </is>
      </c>
      <c r="J702" s="157" t="inlineStr">
        <is>
          <t>Wiki risks: AI-R30</t>
        </is>
      </c>
      <c r="K702" s="157" t="inlineStr">
        <is>
          <t>https://nachi065.github.io/AI-Security-Wiki/23_Framework_Crosswalks/18_AI_Risk_Map_Crosswalk.html</t>
        </is>
      </c>
    </row>
    <row r="703">
      <c r="A703" s="6" t="inlineStr">
        <is>
          <t>Risk frameworks</t>
        </is>
      </c>
      <c r="B703" s="6" t="inlineStr">
        <is>
          <t>AI Risk Map v1.3</t>
        </is>
      </c>
      <c r="C703" s="6" t="inlineStr">
        <is>
          <t>Map categories to wiki risks</t>
        </is>
      </c>
      <c r="D703" s="6" t="inlineStr">
        <is>
          <t>11 Scaling and resource constraints</t>
        </is>
      </c>
      <c r="E703" s="6" t="inlineStr">
        <is>
          <t>Scaling and resource constraints</t>
        </is>
      </c>
      <c r="F703" s="6" t="inlineStr">
        <is>
          <t>None</t>
        </is>
      </c>
      <c r="G703" s="6" t="inlineStr">
        <is>
          <t>AI-R13, AI-R31</t>
        </is>
      </c>
      <c r="H703" s="6" t="inlineStr">
        <is>
          <t>Wiki maps risks directly</t>
        </is>
      </c>
      <c r="I703" s="6" t="inlineStr">
        <is>
          <t>Direct</t>
        </is>
      </c>
      <c r="J703" s="6" t="inlineStr">
        <is>
          <t>Wiki risks: AI-R13, AI-R31</t>
        </is>
      </c>
      <c r="K703" s="6" t="inlineStr">
        <is>
          <t>https://nachi065.github.io/AI-Security-Wiki/23_Framework_Crosswalks/18_AI_Risk_Map_Crosswalk.html</t>
        </is>
      </c>
    </row>
    <row r="704">
      <c r="A704" s="157" t="inlineStr">
        <is>
          <t>Risk frameworks</t>
        </is>
      </c>
      <c r="B704" s="157" t="inlineStr">
        <is>
          <t>AI Risk Map v1.3</t>
        </is>
      </c>
      <c r="C704" s="157" t="inlineStr">
        <is>
          <t>Map categories to wiki risks</t>
        </is>
      </c>
      <c r="D704" s="157" t="inlineStr">
        <is>
          <t>12 Autonomy, alignment and oversight</t>
        </is>
      </c>
      <c r="E704" s="157" t="inlineStr">
        <is>
          <t>Autonomy, alignment and oversight</t>
        </is>
      </c>
      <c r="F704" s="157" t="inlineStr">
        <is>
          <t>None</t>
        </is>
      </c>
      <c r="G704" s="157" t="inlineStr">
        <is>
          <t>AI-R07, AI-R19</t>
        </is>
      </c>
      <c r="H704" s="157" t="inlineStr">
        <is>
          <t>Wiki maps risks directly</t>
        </is>
      </c>
      <c r="I704" s="157" t="inlineStr">
        <is>
          <t>Direct</t>
        </is>
      </c>
      <c r="J704" s="157" t="inlineStr">
        <is>
          <t>Wiki risks: AI-R07, AI-R19</t>
        </is>
      </c>
      <c r="K704" s="157" t="inlineStr">
        <is>
          <t>https://nachi065.github.io/AI-Security-Wiki/23_Framework_Crosswalks/18_AI_Risk_Map_Crosswalk.html</t>
        </is>
      </c>
    </row>
    <row r="705">
      <c r="A705" s="6" t="inlineStr">
        <is>
          <t>Risk frameworks</t>
        </is>
      </c>
      <c r="B705" s="6" t="inlineStr">
        <is>
          <t>AI Risk Map v1.3</t>
        </is>
      </c>
      <c r="C705" s="6" t="inlineStr">
        <is>
          <t>Map categories to wiki risks</t>
        </is>
      </c>
      <c r="D705" s="6" t="inlineStr">
        <is>
          <t>12 Tool access and authorization</t>
        </is>
      </c>
      <c r="E705" s="6" t="inlineStr">
        <is>
          <t>Tool access and authorization</t>
        </is>
      </c>
      <c r="F705" s="6" t="inlineStr">
        <is>
          <t>None</t>
        </is>
      </c>
      <c r="G705" s="6" t="inlineStr">
        <is>
          <t>AI-R07, AI-R22, AI-R23</t>
        </is>
      </c>
      <c r="H705" s="6" t="inlineStr">
        <is>
          <t>Wiki maps risks directly</t>
        </is>
      </c>
      <c r="I705" s="6" t="inlineStr">
        <is>
          <t>Direct</t>
        </is>
      </c>
      <c r="J705" s="6" t="inlineStr">
        <is>
          <t>Wiki risks: AI-R07, AI-R22, AI-R23</t>
        </is>
      </c>
      <c r="K705" s="6" t="inlineStr">
        <is>
          <t>https://nachi065.github.io/AI-Security-Wiki/23_Framework_Crosswalks/18_AI_Risk_Map_Crosswalk.html</t>
        </is>
      </c>
    </row>
    <row r="706">
      <c r="A706" s="157" t="inlineStr">
        <is>
          <t>Risk frameworks</t>
        </is>
      </c>
      <c r="B706" s="157" t="inlineStr">
        <is>
          <t>AI Risk Map v1.3</t>
        </is>
      </c>
      <c r="C706" s="157" t="inlineStr">
        <is>
          <t>Map categories to wiki risks</t>
        </is>
      </c>
      <c r="D706" s="157" t="inlineStr">
        <is>
          <t>12 Memory and context integrity</t>
        </is>
      </c>
      <c r="E706" s="157" t="inlineStr">
        <is>
          <t>Memory and context integrity</t>
        </is>
      </c>
      <c r="F706" s="157" t="inlineStr">
        <is>
          <t>None</t>
        </is>
      </c>
      <c r="G706" s="157" t="inlineStr">
        <is>
          <t>AI-R21</t>
        </is>
      </c>
      <c r="H706" s="157" t="inlineStr">
        <is>
          <t>Wiki maps risks directly</t>
        </is>
      </c>
      <c r="I706" s="157" t="inlineStr">
        <is>
          <t>Direct</t>
        </is>
      </c>
      <c r="J706" s="157" t="inlineStr">
        <is>
          <t>Wiki risks: AI-R21</t>
        </is>
      </c>
      <c r="K706" s="157" t="inlineStr">
        <is>
          <t>https://nachi065.github.io/AI-Security-Wiki/23_Framework_Crosswalks/18_AI_Risk_Map_Crosswalk.html</t>
        </is>
      </c>
    </row>
    <row r="707">
      <c r="A707" s="6" t="inlineStr">
        <is>
          <t>Risk frameworks</t>
        </is>
      </c>
      <c r="B707" s="6" t="inlineStr">
        <is>
          <t>AI Risk Map v1.3</t>
        </is>
      </c>
      <c r="C707" s="6" t="inlineStr">
        <is>
          <t>Map categories to wiki risks</t>
        </is>
      </c>
      <c r="D707" s="6" t="inlineStr">
        <is>
          <t>12 Multi-agent orchestration</t>
        </is>
      </c>
      <c r="E707" s="6" t="inlineStr">
        <is>
          <t>Multi-agent orchestration</t>
        </is>
      </c>
      <c r="F707" s="6" t="inlineStr">
        <is>
          <t>None</t>
        </is>
      </c>
      <c r="G707" s="6" t="inlineStr">
        <is>
          <t>AI-R25</t>
        </is>
      </c>
      <c r="H707" s="6" t="inlineStr">
        <is>
          <t>Wiki maps risks directly</t>
        </is>
      </c>
      <c r="I707" s="6" t="inlineStr">
        <is>
          <t>Direct</t>
        </is>
      </c>
      <c r="J707" s="6" t="inlineStr">
        <is>
          <t>Wiki risks: AI-R25</t>
        </is>
      </c>
      <c r="K707" s="6" t="inlineStr">
        <is>
          <t>https://nachi065.github.io/AI-Security-Wiki/23_Framework_Crosswalks/18_AI_Risk_Map_Crosswalk.html</t>
        </is>
      </c>
    </row>
    <row r="708">
      <c r="A708" s="157" t="inlineStr">
        <is>
          <t>Risk frameworks</t>
        </is>
      </c>
      <c r="B708" s="157" t="inlineStr">
        <is>
          <t>AI Risk Map v1.3</t>
        </is>
      </c>
      <c r="C708" s="157" t="inlineStr">
        <is>
          <t>Map categories to wiki risks</t>
        </is>
      </c>
      <c r="D708" s="157" t="inlineStr">
        <is>
          <t>12 Action integrity and traceability</t>
        </is>
      </c>
      <c r="E708" s="157" t="inlineStr">
        <is>
          <t>Action integrity and traceability</t>
        </is>
      </c>
      <c r="F708" s="157" t="inlineStr">
        <is>
          <t>None</t>
        </is>
      </c>
      <c r="G708" s="157" t="inlineStr">
        <is>
          <t>AI-R07, AI-R09, AI-R54</t>
        </is>
      </c>
      <c r="H708" s="157" t="inlineStr">
        <is>
          <t>Wiki maps risks directly</t>
        </is>
      </c>
      <c r="I708" s="157" t="inlineStr">
        <is>
          <t>Direct</t>
        </is>
      </c>
      <c r="J708" s="157" t="inlineStr">
        <is>
          <t>Wiki risks: AI-R07, AI-R09, AI-R54</t>
        </is>
      </c>
      <c r="K708" s="157" t="inlineStr">
        <is>
          <t>https://nachi065.github.io/AI-Security-Wiki/23_Framework_Crosswalks/18_AI_Risk_Map_Crosswalk.html</t>
        </is>
      </c>
    </row>
    <row r="709">
      <c r="A709" s="6" t="inlineStr">
        <is>
          <t>AI security</t>
        </is>
      </c>
      <c r="B709" s="6" t="inlineStr">
        <is>
          <t>OWASP MCP Top 10</t>
        </is>
      </c>
      <c r="C709" s="6" t="inlineStr">
        <is>
          <t>MCP Top 10 to wiki risks and controls</t>
        </is>
      </c>
      <c r="D709" s="6" t="inlineStr">
        <is>
          <t>MCP01:2025</t>
        </is>
      </c>
      <c r="E709" s="6" t="inlineStr">
        <is>
          <t>Token Mismanagement &amp; Secret Exposure</t>
        </is>
      </c>
      <c r="F709" s="6" t="inlineStr">
        <is>
          <t>AI-CTRL-015, AI-CTRL-016</t>
        </is>
      </c>
      <c r="G709" s="6" t="inlineStr">
        <is>
          <t>AI-R22</t>
        </is>
      </c>
      <c r="H709" s="6" t="inlineStr">
        <is>
          <t>Wiki maps risks directly</t>
        </is>
      </c>
      <c r="I709" s="6" t="inlineStr">
        <is>
          <t>Direct</t>
        </is>
      </c>
      <c r="J709" s="6" t="inlineStr">
        <is>
          <t>Wiki risks: AI-R22; Notes: Short-lived scoped tokens issued at call time; no secrets in configuration files or in the model's context.</t>
        </is>
      </c>
      <c r="K709" s="6" t="inlineStr">
        <is>
          <t>https://nachi065.github.io/AI-Security-Wiki/23_Framework_Crosswalks/19_OWASP_MCP_Top_10_Crosswalk.html</t>
        </is>
      </c>
    </row>
    <row r="710">
      <c r="A710" s="157" t="inlineStr">
        <is>
          <t>AI security</t>
        </is>
      </c>
      <c r="B710" s="157" t="inlineStr">
        <is>
          <t>OWASP MCP Top 10</t>
        </is>
      </c>
      <c r="C710" s="157" t="inlineStr">
        <is>
          <t>MCP Top 10 to wiki risks and controls</t>
        </is>
      </c>
      <c r="D710" s="157" t="inlineStr">
        <is>
          <t>MCP02:2025</t>
        </is>
      </c>
      <c r="E710" s="157" t="inlineStr">
        <is>
          <t>Privilege Escalation via Scope Creep</t>
        </is>
      </c>
      <c r="F710" s="157" t="inlineStr">
        <is>
          <t>AI-CTRL-016, AI-CTRL-024</t>
        </is>
      </c>
      <c r="G710" s="157" t="inlineStr">
        <is>
          <t>AI-R07, AI-R23</t>
        </is>
      </c>
      <c r="H710" s="157" t="inlineStr">
        <is>
          <t>Wiki maps risks directly</t>
        </is>
      </c>
      <c r="I710" s="157" t="inlineStr">
        <is>
          <t>Direct</t>
        </is>
      </c>
      <c r="J710" s="157" t="inlineStr">
        <is>
          <t>Wiki risks: AI-R07, AI-R23; Notes: Least-privilege scopes, periodic review of granted scopes, and step-up authorization for sensitive tools.</t>
        </is>
      </c>
      <c r="K710" s="157" t="inlineStr">
        <is>
          <t>https://nachi065.github.io/AI-Security-Wiki/23_Framework_Crosswalks/19_OWASP_MCP_Top_10_Crosswalk.html</t>
        </is>
      </c>
    </row>
    <row r="711">
      <c r="A711" s="6" t="inlineStr">
        <is>
          <t>AI security</t>
        </is>
      </c>
      <c r="B711" s="6" t="inlineStr">
        <is>
          <t>OWASP MCP Top 10</t>
        </is>
      </c>
      <c r="C711" s="6" t="inlineStr">
        <is>
          <t>MCP Top 10 to wiki risks and controls</t>
        </is>
      </c>
      <c r="D711" s="6" t="inlineStr">
        <is>
          <t>MCP03:2025</t>
        </is>
      </c>
      <c r="E711" s="6" t="inlineStr">
        <is>
          <t>Tool Poisoning</t>
        </is>
      </c>
      <c r="F711" s="6" t="inlineStr">
        <is>
          <t>AI-CTRL-024, AI-CTRL-026</t>
        </is>
      </c>
      <c r="G711" s="6" t="inlineStr">
        <is>
          <t>AI-R23, AI-R24</t>
        </is>
      </c>
      <c r="H711" s="6" t="inlineStr">
        <is>
          <t>Wiki maps risks directly</t>
        </is>
      </c>
      <c r="I711" s="6" t="inlineStr">
        <is>
          <t>Direct</t>
        </is>
      </c>
      <c r="J711" s="6" t="inlineStr">
        <is>
          <t>Wiki risks: AI-R23, AI-R24; Notes: Review tool descriptions before approval, pin their hashes and alert on change (Builder Track B4).</t>
        </is>
      </c>
      <c r="K711" s="6" t="inlineStr">
        <is>
          <t>https://nachi065.github.io/AI-Security-Wiki/23_Framework_Crosswalks/19_OWASP_MCP_Top_10_Crosswalk.html</t>
        </is>
      </c>
    </row>
    <row r="712">
      <c r="A712" s="157" t="inlineStr">
        <is>
          <t>AI security</t>
        </is>
      </c>
      <c r="B712" s="157" t="inlineStr">
        <is>
          <t>OWASP MCP Top 10</t>
        </is>
      </c>
      <c r="C712" s="157" t="inlineStr">
        <is>
          <t>MCP Top 10 to wiki risks and controls</t>
        </is>
      </c>
      <c r="D712" s="157" t="inlineStr">
        <is>
          <t>MCP04:2025</t>
        </is>
      </c>
      <c r="E712" s="157" t="inlineStr">
        <is>
          <t>Software Supply Chain Attacks &amp; Dependency Tampering</t>
        </is>
      </c>
      <c r="F712" s="157" t="inlineStr">
        <is>
          <t>AI-CTRL-024, AI-CTRL-031</t>
        </is>
      </c>
      <c r="G712" s="157" t="inlineStr">
        <is>
          <t>AI-R08, AI-R23</t>
        </is>
      </c>
      <c r="H712" s="157" t="inlineStr">
        <is>
          <t>Wiki maps risks directly</t>
        </is>
      </c>
      <c r="I712" s="157" t="inlineStr">
        <is>
          <t>Direct</t>
        </is>
      </c>
      <c r="J712" s="157" t="inlineStr">
        <is>
          <t>Wiki risks: AI-R23, AI-R08; Notes: Allow-listed sources, version pinning and review of updates. See the postmark-mcp case.</t>
        </is>
      </c>
      <c r="K712" s="157" t="inlineStr">
        <is>
          <t>https://nachi065.github.io/AI-Security-Wiki/23_Framework_Crosswalks/19_OWASP_MCP_Top_10_Crosswalk.html</t>
        </is>
      </c>
    </row>
    <row r="713">
      <c r="A713" s="6" t="inlineStr">
        <is>
          <t>AI security</t>
        </is>
      </c>
      <c r="B713" s="6" t="inlineStr">
        <is>
          <t>OWASP MCP Top 10</t>
        </is>
      </c>
      <c r="C713" s="6" t="inlineStr">
        <is>
          <t>MCP Top 10 to wiki risks and controls</t>
        </is>
      </c>
      <c r="D713" s="6" t="inlineStr">
        <is>
          <t>MCP05:2025</t>
        </is>
      </c>
      <c r="E713" s="6" t="inlineStr">
        <is>
          <t>Command Injection &amp; Execution</t>
        </is>
      </c>
      <c r="F713" s="6" t="inlineStr">
        <is>
          <t>AI-CTRL-020, AI-CTRL-027</t>
        </is>
      </c>
      <c r="G713" s="6" t="inlineStr">
        <is>
          <t>AI-R23, AI-R24</t>
        </is>
      </c>
      <c r="H713" s="6" t="inlineStr">
        <is>
          <t>Wiki maps risks directly</t>
        </is>
      </c>
      <c r="I713" s="6" t="inlineStr">
        <is>
          <t>Direct</t>
        </is>
      </c>
      <c r="J713" s="6" t="inlineStr">
        <is>
          <t>Wiki risks: AI-R24, AI-R23; Notes: Validate tool inputs, never build shell strings, and run servers sandboxed. See the mcp-remote case.</t>
        </is>
      </c>
      <c r="K713" s="6" t="inlineStr">
        <is>
          <t>https://nachi065.github.io/AI-Security-Wiki/23_Framework_Crosswalks/19_OWASP_MCP_Top_10_Crosswalk.html</t>
        </is>
      </c>
    </row>
    <row r="714">
      <c r="A714" s="157" t="inlineStr">
        <is>
          <t>AI security</t>
        </is>
      </c>
      <c r="B714" s="157" t="inlineStr">
        <is>
          <t>OWASP MCP Top 10</t>
        </is>
      </c>
      <c r="C714" s="157" t="inlineStr">
        <is>
          <t>MCP Top 10 to wiki risks and controls</t>
        </is>
      </c>
      <c r="D714" s="157" t="inlineStr">
        <is>
          <t>MCP06:2025</t>
        </is>
      </c>
      <c r="E714" s="157" t="inlineStr">
        <is>
          <t>Prompt Injection via Contextual Payloads</t>
        </is>
      </c>
      <c r="F714" s="157" t="inlineStr">
        <is>
          <t>AI-CTRL-005, AI-CTRL-022</t>
        </is>
      </c>
      <c r="G714" s="157" t="inlineStr">
        <is>
          <t>AI-R05, AI-R24</t>
        </is>
      </c>
      <c r="H714" s="157" t="inlineStr">
        <is>
          <t>Wiki maps risks directly</t>
        </is>
      </c>
      <c r="I714" s="157" t="inlineStr">
        <is>
          <t>Direct</t>
        </is>
      </c>
      <c r="J714" s="157" t="inlineStr">
        <is>
          <t>Wiki risks: AI-R05, AI-R24; Notes: Treat tool output as untrusted and break the lethal trifecta. See the GitHub MCP case.</t>
        </is>
      </c>
      <c r="K714" s="157" t="inlineStr">
        <is>
          <t>https://nachi065.github.io/AI-Security-Wiki/23_Framework_Crosswalks/19_OWASP_MCP_Top_10_Crosswalk.html</t>
        </is>
      </c>
    </row>
    <row r="715">
      <c r="A715" s="6" t="inlineStr">
        <is>
          <t>AI security</t>
        </is>
      </c>
      <c r="B715" s="6" t="inlineStr">
        <is>
          <t>OWASP MCP Top 10</t>
        </is>
      </c>
      <c r="C715" s="6" t="inlineStr">
        <is>
          <t>MCP Top 10 to wiki risks and controls</t>
        </is>
      </c>
      <c r="D715" s="6" t="inlineStr">
        <is>
          <t>MCP07:2025</t>
        </is>
      </c>
      <c r="E715" s="6" t="inlineStr">
        <is>
          <t>Insufficient Authentication &amp; Authorization</t>
        </is>
      </c>
      <c r="F715" s="6" t="inlineStr">
        <is>
          <t>AI-CTRL-015, AI-CTRL-016</t>
        </is>
      </c>
      <c r="G715" s="6" t="inlineStr">
        <is>
          <t>AI-R07, AI-R46</t>
        </is>
      </c>
      <c r="H715" s="6" t="inlineStr">
        <is>
          <t>Wiki maps risks directly</t>
        </is>
      </c>
      <c r="I715" s="6" t="inlineStr">
        <is>
          <t>Direct</t>
        </is>
      </c>
      <c r="J715" s="6" t="inlineStr">
        <is>
          <t>Wiki risks: AI-R07, AI-R46; Notes: OAuth with audience-bound tokens and no token passthrough; per-tool authorization.</t>
        </is>
      </c>
      <c r="K715" s="6" t="inlineStr">
        <is>
          <t>https://nachi065.github.io/AI-Security-Wiki/23_Framework_Crosswalks/19_OWASP_MCP_Top_10_Crosswalk.html</t>
        </is>
      </c>
    </row>
    <row r="716">
      <c r="A716" s="157" t="inlineStr">
        <is>
          <t>AI security</t>
        </is>
      </c>
      <c r="B716" s="157" t="inlineStr">
        <is>
          <t>OWASP MCP Top 10</t>
        </is>
      </c>
      <c r="C716" s="157" t="inlineStr">
        <is>
          <t>MCP Top 10 to wiki risks and controls</t>
        </is>
      </c>
      <c r="D716" s="157" t="inlineStr">
        <is>
          <t>MCP08:2025</t>
        </is>
      </c>
      <c r="E716" s="157" t="inlineStr">
        <is>
          <t>Lack of Audit and Telemetry</t>
        </is>
      </c>
      <c r="F716" s="157" t="inlineStr">
        <is>
          <t>AI-CTRL-008, AI-CTRL-009</t>
        </is>
      </c>
      <c r="G716" s="157" t="inlineStr">
        <is>
          <t>AI-R09, AI-R45</t>
        </is>
      </c>
      <c r="H716" s="157" t="inlineStr">
        <is>
          <t>Wiki maps risks directly</t>
        </is>
      </c>
      <c r="I716" s="157" t="inlineStr">
        <is>
          <t>Direct</t>
        </is>
      </c>
      <c r="J716" s="157" t="inlineStr">
        <is>
          <t>Wiki risks: AI-R09, AI-R45; Notes: Log every call with arguments, result and the agent and user identity.</t>
        </is>
      </c>
      <c r="K716" s="157" t="inlineStr">
        <is>
          <t>https://nachi065.github.io/AI-Security-Wiki/23_Framework_Crosswalks/19_OWASP_MCP_Top_10_Crosswalk.html</t>
        </is>
      </c>
    </row>
    <row r="717">
      <c r="A717" s="6" t="inlineStr">
        <is>
          <t>AI security</t>
        </is>
      </c>
      <c r="B717" s="6" t="inlineStr">
        <is>
          <t>OWASP MCP Top 10</t>
        </is>
      </c>
      <c r="C717" s="6" t="inlineStr">
        <is>
          <t>MCP Top 10 to wiki risks and controls</t>
        </is>
      </c>
      <c r="D717" s="6" t="inlineStr">
        <is>
          <t>MCP09:2025</t>
        </is>
      </c>
      <c r="E717" s="6" t="inlineStr">
        <is>
          <t>Shadow MCP Servers</t>
        </is>
      </c>
      <c r="F717" s="6" t="inlineStr">
        <is>
          <t>AI-CTRL-001, AI-CTRL-024</t>
        </is>
      </c>
      <c r="G717" s="6" t="inlineStr">
        <is>
          <t>AI-R02, AI-R23</t>
        </is>
      </c>
      <c r="H717" s="6" t="inlineStr">
        <is>
          <t>Wiki maps risks directly</t>
        </is>
      </c>
      <c r="I717" s="6" t="inlineStr">
        <is>
          <t>Partial</t>
        </is>
      </c>
      <c r="J717" s="6" t="inlineStr">
        <is>
          <t>Wiki risks: AI-R02, AI-R23; Notes: AI discovery and tool governance apply, but no control or test case names MCP servers on developer machines specifically.</t>
        </is>
      </c>
      <c r="K717" s="6" t="inlineStr">
        <is>
          <t>https://nachi065.github.io/AI-Security-Wiki/23_Framework_Crosswalks/19_OWASP_MCP_Top_10_Crosswalk.html</t>
        </is>
      </c>
    </row>
    <row r="718">
      <c r="A718" s="157" t="inlineStr">
        <is>
          <t>AI security</t>
        </is>
      </c>
      <c r="B718" s="157" t="inlineStr">
        <is>
          <t>OWASP MCP Top 10</t>
        </is>
      </c>
      <c r="C718" s="157" t="inlineStr">
        <is>
          <t>MCP Top 10 to wiki risks and controls</t>
        </is>
      </c>
      <c r="D718" s="157" t="inlineStr">
        <is>
          <t>MCP10:2025</t>
        </is>
      </c>
      <c r="E718" s="157" t="inlineStr">
        <is>
          <t>Context Injection &amp; Over-Sharing</t>
        </is>
      </c>
      <c r="F718" s="157" t="inlineStr">
        <is>
          <t>AI-CTRL-018, AI-CTRL-026</t>
        </is>
      </c>
      <c r="G718" s="157" t="inlineStr">
        <is>
          <t>AI-R06, AI-R21</t>
        </is>
      </c>
      <c r="H718" s="157" t="inlineStr">
        <is>
          <t>Wiki maps risks directly</t>
        </is>
      </c>
      <c r="I718" s="157" t="inlineStr">
        <is>
          <t>Partial</t>
        </is>
      </c>
      <c r="J718" s="157" t="inlineStr">
        <is>
          <t>Wiki risks: AI-R06, AI-R21; Notes: Retrieval access control and memory isolation cover part of it. Isolation of shared context between sessions and tenants is not tested separately.</t>
        </is>
      </c>
      <c r="K718" s="157" t="inlineStr">
        <is>
          <t>https://nachi065.github.io/AI-Security-Wiki/23_Framework_Crosswalks/19_OWASP_MCP_Top_10_Crosswalk.html</t>
        </is>
      </c>
    </row>
    <row r="719">
      <c r="A719" s="6" t="inlineStr">
        <is>
          <t>Security baselines</t>
        </is>
      </c>
      <c r="B719" s="6" t="inlineStr">
        <is>
          <t>NIST SSDF and SP 800-218A</t>
        </is>
      </c>
      <c r="C719" s="6" t="inlineStr">
        <is>
          <t>Prepare the Organization (PO)</t>
        </is>
      </c>
      <c r="D719" s="6" t="inlineStr">
        <is>
          <t>PO.1</t>
        </is>
      </c>
      <c r="E719" s="6" t="inlineStr">
        <is>
          <t>Define Security Requirements for Software Development</t>
        </is>
      </c>
      <c r="F719" s="6" t="inlineStr">
        <is>
          <t>AI-CTRL-012, AI-CTRL-033</t>
        </is>
      </c>
      <c r="G719" s="6" t="inlineStr">
        <is>
          <t>AI-R02, AI-R03, AI-R05, AI-R07, AI-R08, AI-R14, AI-R16, AI-R18, AI-R19, AI-R27, AI-R28, AI-R55</t>
        </is>
      </c>
      <c r="H719" s="6" t="inlineStr">
        <is>
          <t>Derived via mapped controls</t>
        </is>
      </c>
      <c r="I719" s="6" t="inlineStr">
        <is>
          <t>Direct</t>
        </is>
      </c>
      <c r="J719" s="6" t="inlineStr">
        <is>
          <t>Wiki pages and code: AI Policy Standards and Acceptable Use, Domain Standards; Notes: SP 800-218A marks PO.1 as modified for AI. The domain standards are the AI security requirements a development team works to.</t>
        </is>
      </c>
      <c r="K719" s="6" t="inlineStr">
        <is>
          <t>https://nachi065.github.io/AI-Security-Wiki/23_Framework_Crosswalks/20_NIST_SSDF_Crosswalk.html</t>
        </is>
      </c>
    </row>
    <row r="720">
      <c r="A720" s="157" t="inlineStr">
        <is>
          <t>Security baselines</t>
        </is>
      </c>
      <c r="B720" s="157" t="inlineStr">
        <is>
          <t>NIST SSDF and SP 800-218A</t>
        </is>
      </c>
      <c r="C720" s="157" t="inlineStr">
        <is>
          <t>Prepare the Organization (PO)</t>
        </is>
      </c>
      <c r="D720" s="157" t="inlineStr">
        <is>
          <t>PO.2</t>
        </is>
      </c>
      <c r="E720" s="157" t="inlineStr">
        <is>
          <t>Implement Roles and Responsibilities</t>
        </is>
      </c>
      <c r="F720" s="157" t="inlineStr">
        <is>
          <t>AI-CTRL-012, AI-CTRL-044</t>
        </is>
      </c>
      <c r="G720" s="157" t="inlineStr">
        <is>
          <t>AI-R02, AI-R03, AI-R18, AI-R19, AI-R27, AI-R28</t>
        </is>
      </c>
      <c r="H720" s="157" t="inlineStr">
        <is>
          <t>Derived via mapped controls</t>
        </is>
      </c>
      <c r="I720" s="157" t="inlineStr">
        <is>
          <t>Direct</t>
        </is>
      </c>
      <c r="J720" s="157" t="inlineStr">
        <is>
          <t>Wiki pages and code: AI Governance Operating Model, AI Product Developer Playbook; Notes: Role-based training is in the governance operating model.</t>
        </is>
      </c>
      <c r="K720" s="157" t="inlineStr">
        <is>
          <t>https://nachi065.github.io/AI-Security-Wiki/23_Framework_Crosswalks/20_NIST_SSDF_Crosswalk.html</t>
        </is>
      </c>
    </row>
    <row r="721">
      <c r="A721" s="6" t="inlineStr">
        <is>
          <t>Security baselines</t>
        </is>
      </c>
      <c r="B721" s="6" t="inlineStr">
        <is>
          <t>NIST SSDF and SP 800-218A</t>
        </is>
      </c>
      <c r="C721" s="6" t="inlineStr">
        <is>
          <t>Prepare the Organization (PO)</t>
        </is>
      </c>
      <c r="D721" s="6" t="inlineStr">
        <is>
          <t>PO.3</t>
        </is>
      </c>
      <c r="E721" s="6" t="inlineStr">
        <is>
          <t>Implement Supporting Toolchains</t>
        </is>
      </c>
      <c r="F721" s="6" t="inlineStr">
        <is>
          <t>AI-CTRL-004, AI-CTRL-030</t>
        </is>
      </c>
      <c r="G721" s="6" t="inlineStr">
        <is>
          <t>AI-R04, AI-R08, AI-R22</t>
        </is>
      </c>
      <c r="H721" s="6" t="inlineStr">
        <is>
          <t>Derived via mapped controls</t>
        </is>
      </c>
      <c r="I721" s="6" t="inlineStr">
        <is>
          <t>Direct</t>
        </is>
      </c>
      <c r="J721" s="6" t="inlineStr">
        <is>
          <t>Wiki pages and code: AI Coding Assistant and Coding Agent Security Standard, Developer Pipeline Checks; Notes: AI coding assistants and coding agents are now part of the toolchain. The standard governs them; the Builder Track page runs the same checks in the agent, before commit and in CI.</t>
        </is>
      </c>
      <c r="K721" s="6" t="inlineStr">
        <is>
          <t>https://nachi065.github.io/AI-Security-Wiki/23_Framework_Crosswalks/20_NIST_SSDF_Crosswalk.html</t>
        </is>
      </c>
    </row>
    <row r="722">
      <c r="A722" s="157" t="inlineStr">
        <is>
          <t>Security baselines</t>
        </is>
      </c>
      <c r="B722" s="157" t="inlineStr">
        <is>
          <t>NIST SSDF and SP 800-218A</t>
        </is>
      </c>
      <c r="C722" s="157" t="inlineStr">
        <is>
          <t>Prepare the Organization (PO)</t>
        </is>
      </c>
      <c r="D722" s="157" t="inlineStr">
        <is>
          <t>PO.4</t>
        </is>
      </c>
      <c r="E722" s="157" t="inlineStr">
        <is>
          <t>Define and Use Criteria for Software Security Checks</t>
        </is>
      </c>
      <c r="F722" s="157" t="inlineStr">
        <is>
          <t>AI-CTRL-033, AI-CTRL-034</t>
        </is>
      </c>
      <c r="G722" s="157" t="inlineStr">
        <is>
          <t>AI-R05, AI-R07, AI-R08, AI-R14, AI-R16, AI-R17, AI-R20, AI-R55</t>
        </is>
      </c>
      <c r="H722" s="157" t="inlineStr">
        <is>
          <t>Derived via mapped controls</t>
        </is>
      </c>
      <c r="I722" s="157" t="inlineStr">
        <is>
          <t>Direct</t>
        </is>
      </c>
      <c r="J722" s="157" t="inlineStr">
        <is>
          <t>Wiki pages and code: CI/CD release stages, pipeline gates; Notes: The two tables say which checks run at each stage and which ones block.</t>
        </is>
      </c>
      <c r="K722" s="157" t="inlineStr">
        <is>
          <t>https://nachi065.github.io/AI-Security-Wiki/23_Framework_Crosswalks/20_NIST_SSDF_Crosswalk.html</t>
        </is>
      </c>
    </row>
    <row r="723">
      <c r="A723" s="6" t="inlineStr">
        <is>
          <t>Security baselines</t>
        </is>
      </c>
      <c r="B723" s="6" t="inlineStr">
        <is>
          <t>NIST SSDF and SP 800-218A</t>
        </is>
      </c>
      <c r="C723" s="6" t="inlineStr">
        <is>
          <t>Prepare the Organization (PO)</t>
        </is>
      </c>
      <c r="D723" s="6" t="inlineStr">
        <is>
          <t>PO.5</t>
        </is>
      </c>
      <c r="E723" s="6" t="inlineStr">
        <is>
          <t>Implement and Maintain Secure Environments for Software Development</t>
        </is>
      </c>
      <c r="F723" s="6" t="inlineStr">
        <is>
          <t>AI-CTRL-009, AI-CTRL-016, AI-CTRL-027, AI-CTRL-030</t>
        </is>
      </c>
      <c r="G723" s="6" t="inlineStr">
        <is>
          <t>AI-R06, AI-R07, AI-R08, AI-R09, AI-R21, AI-R22, AI-R25, AI-R55</t>
        </is>
      </c>
      <c r="H723" s="6" t="inlineStr">
        <is>
          <t>Derived via mapped controls</t>
        </is>
      </c>
      <c r="I723" s="6" t="inlineStr">
        <is>
          <t>Direct</t>
        </is>
      </c>
      <c r="J723" s="6" t="inlineStr">
        <is>
          <t>Wiki pages and code: ML pipeline tests, coding agent guardrails</t>
        </is>
      </c>
      <c r="K723" s="6" t="inlineStr">
        <is>
          <t>https://nachi065.github.io/AI-Security-Wiki/23_Framework_Crosswalks/20_NIST_SSDF_Crosswalk.html</t>
        </is>
      </c>
    </row>
    <row r="724">
      <c r="A724" s="157" t="inlineStr">
        <is>
          <t>Security baselines</t>
        </is>
      </c>
      <c r="B724" s="157" t="inlineStr">
        <is>
          <t>NIST SSDF and SP 800-218A</t>
        </is>
      </c>
      <c r="C724" s="157" t="inlineStr">
        <is>
          <t>Protect the Software (PS)</t>
        </is>
      </c>
      <c r="D724" s="157" t="inlineStr">
        <is>
          <t>PS.1</t>
        </is>
      </c>
      <c r="E724" s="157" t="inlineStr">
        <is>
          <t>Protect All Forms of Code and Data from Unauthorized Access and Tampering</t>
        </is>
      </c>
      <c r="F724" s="157" t="inlineStr">
        <is>
          <t>AI-CTRL-028, AI-CTRL-030</t>
        </is>
      </c>
      <c r="G724" s="157" t="inlineStr">
        <is>
          <t>AI-R08</t>
        </is>
      </c>
      <c r="H724" s="157" t="inlineStr">
        <is>
          <t>Derived via mapped controls</t>
        </is>
      </c>
      <c r="I724" s="157" t="inlineStr">
        <is>
          <t>Direct</t>
        </is>
      </c>
      <c r="J724" s="157" t="inlineStr">
        <is>
          <t>Wiki pages and code: Model layer tests, Prompts and configuration as code</t>
        </is>
      </c>
      <c r="K724" s="157" t="inlineStr">
        <is>
          <t>https://nachi065.github.io/AI-Security-Wiki/23_Framework_Crosswalks/20_NIST_SSDF_Crosswalk.html</t>
        </is>
      </c>
    </row>
    <row r="725">
      <c r="A725" s="6" t="inlineStr">
        <is>
          <t>Security baselines</t>
        </is>
      </c>
      <c r="B725" s="6" t="inlineStr">
        <is>
          <t>NIST SSDF and SP 800-218A</t>
        </is>
      </c>
      <c r="C725" s="6" t="inlineStr">
        <is>
          <t>Protect the Software (PS)</t>
        </is>
      </c>
      <c r="D725" s="6" t="inlineStr">
        <is>
          <t>PS.2</t>
        </is>
      </c>
      <c r="E725" s="6" t="inlineStr">
        <is>
          <t>Provide a Mechanism for Verifying Software Release Integrity</t>
        </is>
      </c>
      <c r="F725" s="6" t="inlineStr">
        <is>
          <t>AI-CTRL-030, AI-CTRL-031</t>
        </is>
      </c>
      <c r="G725" s="6" t="inlineStr">
        <is>
          <t>AI-R08, AI-R16, AI-R23</t>
        </is>
      </c>
      <c r="H725" s="6" t="inlineStr">
        <is>
          <t>Derived via mapped controls</t>
        </is>
      </c>
      <c r="I725" s="6" t="inlineStr">
        <is>
          <t>Direct</t>
        </is>
      </c>
      <c r="J725" s="6" t="inlineStr">
        <is>
          <t>Wiki pages and code: CI/CD release stages (signing and signature verification); Notes: Signing of models, containers and prompt bundles, verified at deployment.</t>
        </is>
      </c>
      <c r="K725" s="6" t="inlineStr">
        <is>
          <t>https://nachi065.github.io/AI-Security-Wiki/23_Framework_Crosswalks/20_NIST_SSDF_Crosswalk.html</t>
        </is>
      </c>
    </row>
    <row r="726">
      <c r="A726" s="157" t="inlineStr">
        <is>
          <t>Security baselines</t>
        </is>
      </c>
      <c r="B726" s="157" t="inlineStr">
        <is>
          <t>NIST SSDF and SP 800-218A</t>
        </is>
      </c>
      <c r="C726" s="157" t="inlineStr">
        <is>
          <t>Protect the Software (PS)</t>
        </is>
      </c>
      <c r="D726" s="157" t="inlineStr">
        <is>
          <t>PS.3</t>
        </is>
      </c>
      <c r="E726" s="157" t="inlineStr">
        <is>
          <t>Archive and Protect Each Software Release</t>
        </is>
      </c>
      <c r="F726" s="157" t="inlineStr">
        <is>
          <t>AI-CTRL-008, AI-CTRL-031</t>
        </is>
      </c>
      <c r="G726" s="157" t="inlineStr">
        <is>
          <t>AI-R08, AI-R09, AI-R15, AI-R16, AI-R23, AI-R26</t>
        </is>
      </c>
      <c r="H726" s="157" t="inlineStr">
        <is>
          <t>Derived via mapped controls</t>
        </is>
      </c>
      <c r="I726" s="157" t="inlineStr">
        <is>
          <t>Partial</t>
        </is>
      </c>
      <c r="J726" s="157" t="inlineStr">
        <is>
          <t>Wiki pages and code: AI-assisted commit identification, Developer Pipeline Checks; Notes: The AI-BOM records model and dataset provenance, and the AI-Assistance trailer records which changes an assistant or agent made. The wiki has no guidance on archiving releases themselves; that is general SSDF practice.</t>
        </is>
      </c>
      <c r="K726" s="157" t="inlineStr">
        <is>
          <t>https://nachi065.github.io/AI-Security-Wiki/23_Framework_Crosswalks/20_NIST_SSDF_Crosswalk.html</t>
        </is>
      </c>
    </row>
    <row r="727">
      <c r="A727" s="6" t="inlineStr">
        <is>
          <t>Security baselines</t>
        </is>
      </c>
      <c r="B727" s="6" t="inlineStr">
        <is>
          <t>NIST SSDF and SP 800-218A</t>
        </is>
      </c>
      <c r="C727" s="6" t="inlineStr">
        <is>
          <t>Produce Well-Secured Software (PW)</t>
        </is>
      </c>
      <c r="D727" s="6" t="inlineStr">
        <is>
          <t>PW.1</t>
        </is>
      </c>
      <c r="E727" s="6" t="inlineStr">
        <is>
          <t>Design Software to Meet Security Requirements and Mitigate Security Risks</t>
        </is>
      </c>
      <c r="F727" s="6" t="inlineStr">
        <is>
          <t>AI-CTRL-033, AI-CTRL-037</t>
        </is>
      </c>
      <c r="G727" s="6" t="inlineStr">
        <is>
          <t>AI-R02, AI-R05, AI-R07, AI-R08, AI-R14, AI-R16, AI-R18, AI-R28, AI-R55</t>
        </is>
      </c>
      <c r="H727" s="6" t="inlineStr">
        <is>
          <t>Derived via mapped controls</t>
        </is>
      </c>
      <c r="I727" s="6" t="inlineStr">
        <is>
          <t>Direct</t>
        </is>
      </c>
      <c r="J727" s="6" t="inlineStr">
        <is>
          <t>Wiki pages and code: Reference Architecture, Agent Architecture Patterns; Notes: Risk assessment and design patterns that contain prompt injection and excessive agency.</t>
        </is>
      </c>
      <c r="K727" s="6" t="inlineStr">
        <is>
          <t>https://nachi065.github.io/AI-Security-Wiki/23_Framework_Crosswalks/20_NIST_SSDF_Crosswalk.html</t>
        </is>
      </c>
    </row>
    <row r="728">
      <c r="A728" s="157" t="inlineStr">
        <is>
          <t>Security baselines</t>
        </is>
      </c>
      <c r="B728" s="157" t="inlineStr">
        <is>
          <t>NIST SSDF and SP 800-218A</t>
        </is>
      </c>
      <c r="C728" s="157" t="inlineStr">
        <is>
          <t>Produce Well-Secured Software (PW)</t>
        </is>
      </c>
      <c r="D728" s="157" t="inlineStr">
        <is>
          <t>PW.2</t>
        </is>
      </c>
      <c r="E728" s="157" t="inlineStr">
        <is>
          <t>Review the Software Design to Verify Compliance with Security Requirements and Risk Information</t>
        </is>
      </c>
      <c r="F728" s="157" t="inlineStr">
        <is>
          <t>AI-CTRL-033</t>
        </is>
      </c>
      <c r="G728" s="157" t="inlineStr">
        <is>
          <t>AI-R05, AI-R07, AI-R08, AI-R14, AI-R16, AI-R55</t>
        </is>
      </c>
      <c r="H728" s="157" t="inlineStr">
        <is>
          <t>Derived via mapped controls</t>
        </is>
      </c>
      <c r="I728" s="157" t="inlineStr">
        <is>
          <t>Direct</t>
        </is>
      </c>
      <c r="J728" s="157" t="inlineStr">
        <is>
          <t>Wiki pages and code: Architect's review checklist; Notes: The release gate requires a security review record.</t>
        </is>
      </c>
      <c r="K728" s="157" t="inlineStr">
        <is>
          <t>https://nachi065.github.io/AI-Security-Wiki/23_Framework_Crosswalks/20_NIST_SSDF_Crosswalk.html</t>
        </is>
      </c>
    </row>
    <row r="729">
      <c r="A729" s="6" t="inlineStr">
        <is>
          <t>Security baselines</t>
        </is>
      </c>
      <c r="B729" s="6" t="inlineStr">
        <is>
          <t>NIST SSDF and SP 800-218A</t>
        </is>
      </c>
      <c r="C729" s="6" t="inlineStr">
        <is>
          <t>Produce Well-Secured Software (PW)</t>
        </is>
      </c>
      <c r="D729" s="6" t="inlineStr">
        <is>
          <t>PW.3</t>
        </is>
      </c>
      <c r="E729" s="6" t="inlineStr">
        <is>
          <t>Confirm the Integrity of Training, Testing, Fine-Tuning, and Aligning Data Before Use (SP 800-218A only)</t>
        </is>
      </c>
      <c r="F729" s="6" t="inlineStr">
        <is>
          <t>AI-CTRL-019, AI-CTRL-029</t>
        </is>
      </c>
      <c r="G729" s="6" t="inlineStr">
        <is>
          <t>AI-R05, AI-R08, AI-R17</t>
        </is>
      </c>
      <c r="H729" s="6" t="inlineStr">
        <is>
          <t>Derived via mapped controls</t>
        </is>
      </c>
      <c r="I729" s="6" t="inlineStr">
        <is>
          <t>Direct</t>
        </is>
      </c>
      <c r="J729" s="6" t="inlineStr">
        <is>
          <t>Wiki pages and code: Training and fine-tuning tests, Predictive Model Monitoring and Adversarial ML; Notes: Applies to model producers and to teams that fine-tune. Poisoning, provenance and personal data in training data are tested in L13.</t>
        </is>
      </c>
      <c r="K729" s="6" t="inlineStr">
        <is>
          <t>https://nachi065.github.io/AI-Security-Wiki/23_Framework_Crosswalks/20_NIST_SSDF_Crosswalk.html</t>
        </is>
      </c>
    </row>
    <row r="730">
      <c r="A730" s="157" t="inlineStr">
        <is>
          <t>Security baselines</t>
        </is>
      </c>
      <c r="B730" s="157" t="inlineStr">
        <is>
          <t>NIST SSDF and SP 800-218A</t>
        </is>
      </c>
      <c r="C730" s="157" t="inlineStr">
        <is>
          <t>Produce Well-Secured Software (PW)</t>
        </is>
      </c>
      <c r="D730" s="157" t="inlineStr">
        <is>
          <t>PW.4</t>
        </is>
      </c>
      <c r="E730" s="157" t="inlineStr">
        <is>
          <t>Reuse Existing, Well-Secured Software When Feasible Instead of Duplicating Functionality</t>
        </is>
      </c>
      <c r="F730" s="157" t="inlineStr">
        <is>
          <t>AI-CTRL-014, AI-CTRL-031</t>
        </is>
      </c>
      <c r="G730" s="157" t="inlineStr">
        <is>
          <t>AI-R08, AI-R10, AI-R16, AI-R23</t>
        </is>
      </c>
      <c r="H730" s="157" t="inlineStr">
        <is>
          <t>Derived via mapped controls</t>
        </is>
      </c>
      <c r="I730" s="157" t="inlineStr">
        <is>
          <t>Direct</t>
        </is>
      </c>
      <c r="J730" s="157" t="inlineStr">
        <is>
          <t>Wiki pages and code: Supply chain tests, dependency verification; Notes: Includes verifying that a package an assistant suggests exists and is not typosquatted (TC-L05-019, TC-L16-004).</t>
        </is>
      </c>
      <c r="K730" s="157" t="inlineStr">
        <is>
          <t>https://nachi065.github.io/AI-Security-Wiki/23_Framework_Crosswalks/20_NIST_SSDF_Crosswalk.html</t>
        </is>
      </c>
    </row>
    <row r="731">
      <c r="A731" s="6" t="inlineStr">
        <is>
          <t>Security baselines</t>
        </is>
      </c>
      <c r="B731" s="6" t="inlineStr">
        <is>
          <t>NIST SSDF and SP 800-218A</t>
        </is>
      </c>
      <c r="C731" s="6" t="inlineStr">
        <is>
          <t>Produce Well-Secured Software (PW)</t>
        </is>
      </c>
      <c r="D731" s="6" t="inlineStr">
        <is>
          <t>PW.5</t>
        </is>
      </c>
      <c r="E731" s="6" t="inlineStr">
        <is>
          <t>Create Source Code by Adhering to Secure Coding Practices</t>
        </is>
      </c>
      <c r="F731" s="6" t="inlineStr">
        <is>
          <t>AI-CTRL-004, AI-CTRL-020</t>
        </is>
      </c>
      <c r="G731" s="6" t="inlineStr">
        <is>
          <t>AI-R04, AI-R05, AI-R06, AI-R22, AI-R24, AI-R26</t>
        </is>
      </c>
      <c r="H731" s="6" t="inlineStr">
        <is>
          <t>Derived via mapped controls</t>
        </is>
      </c>
      <c r="I731" s="6" t="inlineStr">
        <is>
          <t>Direct</t>
        </is>
      </c>
      <c r="J731" s="6" t="inlineStr">
        <is>
          <t>Wiki pages and code: AI Coding Assistant and Coding Agent Security Standard, Secure Your First Agent; Notes: Generated code is held to the same secure coding rules; LLM output is handled as untrusted input.</t>
        </is>
      </c>
      <c r="K731" s="6" t="inlineStr">
        <is>
          <t>https://nachi065.github.io/AI-Security-Wiki/23_Framework_Crosswalks/20_NIST_SSDF_Crosswalk.html</t>
        </is>
      </c>
    </row>
    <row r="732">
      <c r="A732" s="157" t="inlineStr">
        <is>
          <t>Security baselines</t>
        </is>
      </c>
      <c r="B732" s="157" t="inlineStr">
        <is>
          <t>NIST SSDF and SP 800-218A</t>
        </is>
      </c>
      <c r="C732" s="157" t="inlineStr">
        <is>
          <t>Produce Well-Secured Software (PW)</t>
        </is>
      </c>
      <c r="D732" s="157" t="inlineStr">
        <is>
          <t>PW.6</t>
        </is>
      </c>
      <c r="E732" s="157" t="inlineStr">
        <is>
          <t>Configure the Compilation, Interpreter, and Build Processes to Improve Executable Security</t>
        </is>
      </c>
      <c r="F732" s="157" t="inlineStr">
        <is>
          <t>AI-CTRL-030</t>
        </is>
      </c>
      <c r="G732" s="157" t="inlineStr">
        <is>
          <t>AI-R08</t>
        </is>
      </c>
      <c r="H732" s="157" t="inlineStr">
        <is>
          <t>Derived via mapped controls</t>
        </is>
      </c>
      <c r="I732" s="157" t="inlineStr">
        <is>
          <t>Partial</t>
        </is>
      </c>
      <c r="J732" s="157" t="inlineStr">
        <is>
          <t>Wiki pages and code: Pipeline runner least privilege; Notes: The wiki covers pipeline and runner security, not compiler and build hardening, which is the same for AI software as for any other.</t>
        </is>
      </c>
      <c r="K732" s="157" t="inlineStr">
        <is>
          <t>https://nachi065.github.io/AI-Security-Wiki/23_Framework_Crosswalks/20_NIST_SSDF_Crosswalk.html</t>
        </is>
      </c>
    </row>
    <row r="733">
      <c r="A733" s="6" t="inlineStr">
        <is>
          <t>Security baselines</t>
        </is>
      </c>
      <c r="B733" s="6" t="inlineStr">
        <is>
          <t>NIST SSDF and SP 800-218A</t>
        </is>
      </c>
      <c r="C733" s="6" t="inlineStr">
        <is>
          <t>Produce Well-Secured Software (PW)</t>
        </is>
      </c>
      <c r="D733" s="6" t="inlineStr">
        <is>
          <t>PW.7</t>
        </is>
      </c>
      <c r="E733" s="6" t="inlineStr">
        <is>
          <t>Review and/or Analyze Human-Readable Code to Identify Vulnerabilities and Verify Compliance with Security Requirements</t>
        </is>
      </c>
      <c r="F733" s="6" t="inlineStr">
        <is>
          <t>AI-CTRL-031, AI-CTRL-033</t>
        </is>
      </c>
      <c r="G733" s="6" t="inlineStr">
        <is>
          <t>AI-R05, AI-R07, AI-R08, AI-R14, AI-R16, AI-R23, AI-R55</t>
        </is>
      </c>
      <c r="H733" s="6" t="inlineStr">
        <is>
          <t>Derived via mapped controls</t>
        </is>
      </c>
      <c r="I733" s="6" t="inlineStr">
        <is>
          <t>Direct</t>
        </is>
      </c>
      <c r="J733" s="6" t="inlineStr">
        <is>
          <t>Wiki pages and code: Insecure code suggestion detection, Developer Pipeline Checks; Notes: SP 800-218A extends review to scanning models for malicious content; the release stages table includes a model file scan.</t>
        </is>
      </c>
      <c r="K733" s="6" t="inlineStr">
        <is>
          <t>https://nachi065.github.io/AI-Security-Wiki/23_Framework_Crosswalks/20_NIST_SSDF_Crosswalk.html</t>
        </is>
      </c>
    </row>
    <row r="734">
      <c r="A734" s="157" t="inlineStr">
        <is>
          <t>Security baselines</t>
        </is>
      </c>
      <c r="B734" s="157" t="inlineStr">
        <is>
          <t>NIST SSDF and SP 800-218A</t>
        </is>
      </c>
      <c r="C734" s="157" t="inlineStr">
        <is>
          <t>Produce Well-Secured Software (PW)</t>
        </is>
      </c>
      <c r="D734" s="157" t="inlineStr">
        <is>
          <t>PW.8</t>
        </is>
      </c>
      <c r="E734" s="157" t="inlineStr">
        <is>
          <t>Test Executable Code to Identify Vulnerabilities and Verify Compliance with Security Requirements</t>
        </is>
      </c>
      <c r="F734" s="157" t="inlineStr">
        <is>
          <t>AI-CTRL-034</t>
        </is>
      </c>
      <c r="G734" s="157" t="inlineStr">
        <is>
          <t>AI-R05, AI-R07, AI-R16, AI-R17, AI-R20</t>
        </is>
      </c>
      <c r="H734" s="157" t="inlineStr">
        <is>
          <t>Derived via mapped controls</t>
        </is>
      </c>
      <c r="I734" s="157" t="inlineStr">
        <is>
          <t>Direct</t>
        </is>
      </c>
      <c r="J734" s="157" t="inlineStr">
        <is>
          <t>Wiki pages and code: Test Case Library, payload kit, AI Red Team Playbook; Notes: The 682 test cases are the AI-specific testing; each shows its validation level.</t>
        </is>
      </c>
      <c r="K734" s="157" t="inlineStr">
        <is>
          <t>https://nachi065.github.io/AI-Security-Wiki/23_Framework_Crosswalks/20_NIST_SSDF_Crosswalk.html</t>
        </is>
      </c>
    </row>
    <row r="735">
      <c r="A735" s="6" t="inlineStr">
        <is>
          <t>Security baselines</t>
        </is>
      </c>
      <c r="B735" s="6" t="inlineStr">
        <is>
          <t>NIST SSDF and SP 800-218A</t>
        </is>
      </c>
      <c r="C735" s="6" t="inlineStr">
        <is>
          <t>Produce Well-Secured Software (PW)</t>
        </is>
      </c>
      <c r="D735" s="6" t="inlineStr">
        <is>
          <t>PW.9</t>
        </is>
      </c>
      <c r="E735" s="6" t="inlineStr">
        <is>
          <t>Configure Software to Have Secure Settings by Default</t>
        </is>
      </c>
      <c r="F735" s="6" t="inlineStr">
        <is>
          <t>AI-CTRL-005, AI-CTRL-032</t>
        </is>
      </c>
      <c r="G735" s="6" t="inlineStr">
        <is>
          <t>AI-R05, AI-R06, AI-R08, AI-R10, AI-R24</t>
        </is>
      </c>
      <c r="H735" s="6" t="inlineStr">
        <is>
          <t>Derived via mapped controls</t>
        </is>
      </c>
      <c r="I735" s="6" t="inlineStr">
        <is>
          <t>Partial</t>
        </is>
      </c>
      <c r="J735" s="6" t="inlineStr">
        <is>
          <t>Wiki pages and code: Custom AI Application Runtime Security Standard; Notes: Runtime and infrastructure defaults are covered; the wiki has no secure-defaults checklist for AI products shipped to customers.</t>
        </is>
      </c>
      <c r="K735" s="6" t="inlineStr">
        <is>
          <t>https://nachi065.github.io/AI-Security-Wiki/23_Framework_Crosswalks/20_NIST_SSDF_Crosswalk.html</t>
        </is>
      </c>
    </row>
    <row r="736">
      <c r="A736" s="157" t="inlineStr">
        <is>
          <t>Security baselines</t>
        </is>
      </c>
      <c r="B736" s="157" t="inlineStr">
        <is>
          <t>NIST SSDF and SP 800-218A</t>
        </is>
      </c>
      <c r="C736" s="157" t="inlineStr">
        <is>
          <t>Respond to Vulnerabilities (RV)</t>
        </is>
      </c>
      <c r="D736" s="157" t="inlineStr">
        <is>
          <t>RV.1</t>
        </is>
      </c>
      <c r="E736" s="157" t="inlineStr">
        <is>
          <t>Identify and Confirm Vulnerabilities on an Ongoing Basis</t>
        </is>
      </c>
      <c r="F736" s="157" t="inlineStr">
        <is>
          <t>AI-CTRL-009, AI-CTRL-034</t>
        </is>
      </c>
      <c r="G736" s="157" t="inlineStr">
        <is>
          <t>AI-R05, AI-R07, AI-R09, AI-R16, AI-R17, AI-R20</t>
        </is>
      </c>
      <c r="H736" s="157" t="inlineStr">
        <is>
          <t>Derived via mapped controls</t>
        </is>
      </c>
      <c r="I736" s="157" t="inlineStr">
        <is>
          <t>Direct</t>
        </is>
      </c>
      <c r="J736" s="157" t="inlineStr">
        <is>
          <t>Wiki pages and code: Monitoring, detection and response tests; Notes: Scheduled re-runs of the evaluation and adversarial suites, and provider model change monitoring (TC-L16-013).</t>
        </is>
      </c>
      <c r="K736" s="157" t="inlineStr">
        <is>
          <t>https://nachi065.github.io/AI-Security-Wiki/23_Framework_Crosswalks/20_NIST_SSDF_Crosswalk.html</t>
        </is>
      </c>
    </row>
    <row r="737">
      <c r="A737" s="6" t="inlineStr">
        <is>
          <t>Security baselines</t>
        </is>
      </c>
      <c r="B737" s="6" t="inlineStr">
        <is>
          <t>NIST SSDF and SP 800-218A</t>
        </is>
      </c>
      <c r="C737" s="6" t="inlineStr">
        <is>
          <t>Respond to Vulnerabilities (RV)</t>
        </is>
      </c>
      <c r="D737" s="6" t="inlineStr">
        <is>
          <t>RV.2</t>
        </is>
      </c>
      <c r="E737" s="6" t="inlineStr">
        <is>
          <t>Assess, Prioritize, and Remediate Vulnerabilities</t>
        </is>
      </c>
      <c r="F737" s="6" t="inlineStr">
        <is>
          <t>AI-CTRL-035, AI-CTRL-037</t>
        </is>
      </c>
      <c r="G737" s="6" t="inlineStr">
        <is>
          <t>AI-R02, AI-R09, AI-R18, AI-R20, AI-R28, AI-R55</t>
        </is>
      </c>
      <c r="H737" s="6" t="inlineStr">
        <is>
          <t>Derived via mapped controls</t>
        </is>
      </c>
      <c r="I737" s="6" t="inlineStr">
        <is>
          <t>Direct</t>
        </is>
      </c>
      <c r="J737" s="6" t="inlineStr">
        <is>
          <t>Wiki pages and code: AI Risk Methodology, operating defaults; Notes: Severity, response times and exception limits are in the operating defaults.</t>
        </is>
      </c>
      <c r="K737" s="6" t="inlineStr">
        <is>
          <t>https://nachi065.github.io/AI-Security-Wiki/23_Framework_Crosswalks/20_NIST_SSDF_Crosswalk.html</t>
        </is>
      </c>
    </row>
    <row r="738">
      <c r="A738" s="157" t="inlineStr">
        <is>
          <t>Security baselines</t>
        </is>
      </c>
      <c r="B738" s="157" t="inlineStr">
        <is>
          <t>NIST SSDF and SP 800-218A</t>
        </is>
      </c>
      <c r="C738" s="157" t="inlineStr">
        <is>
          <t>Respond to Vulnerabilities (RV)</t>
        </is>
      </c>
      <c r="D738" s="157" t="inlineStr">
        <is>
          <t>RV.3</t>
        </is>
      </c>
      <c r="E738" s="157" t="inlineStr">
        <is>
          <t>Analyze Vulnerabilities to Identify Their Root Causes</t>
        </is>
      </c>
      <c r="F738" s="157" t="inlineStr">
        <is>
          <t>AI-CTRL-035</t>
        </is>
      </c>
      <c r="G738" s="157" t="inlineStr">
        <is>
          <t>AI-R09, AI-R20</t>
        </is>
      </c>
      <c r="H738" s="157" t="inlineStr">
        <is>
          <t>Derived via mapped controls</t>
        </is>
      </c>
      <c r="I738" s="157" t="inlineStr">
        <is>
          <t>Direct</t>
        </is>
      </c>
      <c r="J738" s="157" t="inlineStr">
        <is>
          <t>Wiki pages and code: Post-incident feedback, AI Security Incident Casebook; Notes: Model behaviour regressions and poisoning have their own forensic cases in the incident domain.</t>
        </is>
      </c>
      <c r="K738" s="157" t="inlineStr">
        <is>
          <t>https://nachi065.github.io/AI-Security-Wiki/23_Framework_Crosswalks/20_NIST_SSDF_Crosswalk.html</t>
        </is>
      </c>
    </row>
    <row r="739">
      <c r="A739" s="6" t="inlineStr">
        <is>
          <t>Security baselines</t>
        </is>
      </c>
      <c r="B739" s="6" t="inlineStr">
        <is>
          <t>PCI DSS v4.0.1 requirements (AI)</t>
        </is>
      </c>
      <c r="C739" s="6" t="inlineStr">
        <is>
          <t>PCI DSS requirements the supplement applies to AI</t>
        </is>
      </c>
      <c r="D739" s="6" t="inlineStr">
        <is>
          <t>1.2.4 (data-flow diagrams)</t>
        </is>
      </c>
      <c r="E739" s="6" t="inlineStr">
        <is>
          <t>Add AI deployments to the data-flow diagrams, including the data stores AI operation creates, and give no AI system access to data the entity has not classified and mapped.</t>
        </is>
      </c>
      <c r="F739" s="6" t="inlineStr">
        <is>
          <t>AI-CTRL-011, AI-CTRL-017</t>
        </is>
      </c>
      <c r="G739" s="6" t="inlineStr">
        <is>
          <t>AI-R01, AI-R02, AI-R03, AI-R06, AI-R17, AI-R18</t>
        </is>
      </c>
      <c r="H739" s="6" t="inlineStr">
        <is>
          <t>Derived via mapped controls</t>
        </is>
      </c>
      <c r="I739" s="6" t="inlineStr">
        <is>
          <t>Direct</t>
        </is>
      </c>
      <c r="J739" s="6" t="inlineStr">
        <is>
          <t>Test cases: TC-L10-035, TC-L07-042, TC-L08-040</t>
        </is>
      </c>
      <c r="K739" s="6" t="inlineStr">
        <is>
          <t>https://nachi065.github.io/AI-Security-Wiki/23_Framework_Crosswalks/21_PCI_DSS_AI_Crosswalk.html</t>
        </is>
      </c>
    </row>
    <row r="740">
      <c r="A740" s="157" t="inlineStr">
        <is>
          <t>Security baselines</t>
        </is>
      </c>
      <c r="B740" s="157" t="inlineStr">
        <is>
          <t>PCI DSS v4.0.1 requirements (AI)</t>
        </is>
      </c>
      <c r="C740" s="157" t="inlineStr">
        <is>
          <t>PCI DSS requirements the supplement applies to AI</t>
        </is>
      </c>
      <c r="D740" s="157" t="inlineStr">
        <is>
          <t>Requirement 3, and 3.3.1 (no storage of se...</t>
        </is>
      </c>
      <c r="E740" s="157" t="inlineStr">
        <is>
          <t>Use tokens, truncated or encrypted card data where possible; never give AI systems sensitive authentication data, even encrypted, or PIN blocks; anything that may not be stored in cleartext is not given to an AI system in cleartext.</t>
        </is>
      </c>
      <c r="F740" s="157" t="inlineStr">
        <is>
          <t>AI-CTRL-002, AI-CTRL-017</t>
        </is>
      </c>
      <c r="G740" s="157" t="inlineStr">
        <is>
          <t>AI-R01, AI-R03, AI-R06, AI-R17, AI-R27</t>
        </is>
      </c>
      <c r="H740" s="157" t="inlineStr">
        <is>
          <t>Derived via mapped controls</t>
        </is>
      </c>
      <c r="I740" s="157" t="inlineStr">
        <is>
          <t>Direct</t>
        </is>
      </c>
      <c r="J740" s="157" t="inlineStr">
        <is>
          <t>Test cases: TC-L08-005, TC-L10-034, TC-L10-035; Notes: The supplement also names the PCI PIN and PCI KMO standards for PIN blocks; the wiki does not map those standards.</t>
        </is>
      </c>
      <c r="K740" s="157" t="inlineStr">
        <is>
          <t>https://nachi065.github.io/AI-Security-Wiki/23_Framework_Crosswalks/21_PCI_DSS_AI_Crosswalk.html</t>
        </is>
      </c>
    </row>
    <row r="741">
      <c r="A741" s="6" t="inlineStr">
        <is>
          <t>Security baselines</t>
        </is>
      </c>
      <c r="B741" s="6" t="inlineStr">
        <is>
          <t>PCI DSS v4.0.1 requirements (AI)</t>
        </is>
      </c>
      <c r="C741" s="6" t="inlineStr">
        <is>
          <t>PCI DSS requirements the supplement applies to AI</t>
        </is>
      </c>
      <c r="D741" s="6" t="inlineStr">
        <is>
          <t>6.2.3 and 6.2.3.1 (code review)</t>
        </is>
      </c>
      <c r="E741" s="6" t="inlineStr">
        <is>
          <t>AI may be used for code review otherwise done manually, with ongoing validation of its effectiveness and functional and security checks in the pipeline.</t>
        </is>
      </c>
      <c r="F741" s="6" t="inlineStr">
        <is>
          <t>AI-CTRL-004, AI-CTRL-033, AI-CTRL-034</t>
        </is>
      </c>
      <c r="G741" s="6" t="inlineStr">
        <is>
          <t>AI-R04, AI-R05, AI-R07, AI-R08, AI-R14, AI-R16, AI-R17, AI-R20, AI-R22, AI-R55</t>
        </is>
      </c>
      <c r="H741" s="6" t="inlineStr">
        <is>
          <t>Derived via mapped controls</t>
        </is>
      </c>
      <c r="I741" s="6" t="inlineStr">
        <is>
          <t>Direct</t>
        </is>
      </c>
      <c r="J741" s="6" t="inlineStr">
        <is>
          <t>Test cases: TC-L14-024, TC-L05-034, TC-L14-022; Notes: New case TC-L14-024 measures an AI reviewer against seeded flaws.</t>
        </is>
      </c>
      <c r="K741" s="6" t="inlineStr">
        <is>
          <t>https://nachi065.github.io/AI-Security-Wiki/23_Framework_Crosswalks/21_PCI_DSS_AI_Crosswalk.html</t>
        </is>
      </c>
    </row>
    <row r="742">
      <c r="A742" s="157" t="inlineStr">
        <is>
          <t>Security baselines</t>
        </is>
      </c>
      <c r="B742" s="157" t="inlineStr">
        <is>
          <t>PCI DSS v4.0.1 requirements (AI)</t>
        </is>
      </c>
      <c r="C742" s="157" t="inlineStr">
        <is>
          <t>PCI DSS requirements the supplement applies to AI</t>
        </is>
      </c>
      <c r="D742" s="157" t="inlineStr">
        <is>
          <t>6.5.1, with 6.2.4 (change procedures)</t>
        </is>
      </c>
      <c r="E742" s="157" t="inlineStr">
        <is>
          <t>Its Example 1 shows how agent-made patches can meet each element of the change procedure: reason, security impact, approval, testing, and a way back to a secure state.</t>
        </is>
      </c>
      <c r="F742" s="157" t="inlineStr">
        <is>
          <t>AI-CTRL-022, AI-CTRL-025, AI-CTRL-033</t>
        </is>
      </c>
      <c r="G742" s="157" t="inlineStr">
        <is>
          <t>AI-R05, AI-R07, AI-R08, AI-R11, AI-R14, AI-R16, AI-R21, AI-R24, AI-R25, AI-R55</t>
        </is>
      </c>
      <c r="H742" s="157" t="inlineStr">
        <is>
          <t>Derived via mapped controls</t>
        </is>
      </c>
      <c r="I742" s="157" t="inlineStr">
        <is>
          <t>Direct</t>
        </is>
      </c>
      <c r="J742" s="157" t="inlineStr">
        <is>
          <t>Test cases: TC-L14-023, TC-L06-034; Notes: 6.2.4 appears only in the 6.5.1 table, for bespoke software, which the example does not address.</t>
        </is>
      </c>
      <c r="K742" s="157" t="inlineStr">
        <is>
          <t>https://nachi065.github.io/AI-Security-Wiki/23_Framework_Crosswalks/21_PCI_DSS_AI_Crosswalk.html</t>
        </is>
      </c>
    </row>
    <row r="743">
      <c r="A743" s="6" t="inlineStr">
        <is>
          <t>Security baselines</t>
        </is>
      </c>
      <c r="B743" s="6" t="inlineStr">
        <is>
          <t>PCI DSS v4.0.1 requirements (AI)</t>
        </is>
      </c>
      <c r="C743" s="6" t="inlineStr">
        <is>
          <t>PCI DSS requirements the supplement applies to AI</t>
        </is>
      </c>
      <c r="D743" s="6" t="inlineStr">
        <is>
          <t>8.4.2 (MFA into the CDE)</t>
        </is>
      </c>
      <c r="E743" s="6" t="inlineStr">
        <is>
          <t>An AI system cannot perform MFA; where it accesses the CDE from outside, use at least device-bound and ideally cryptographic credentials, time-bound, and never reusable by others.</t>
        </is>
      </c>
      <c r="F743" s="6" t="inlineStr">
        <is>
          <t>AI-CTRL-015, AI-CTRL-016</t>
        </is>
      </c>
      <c r="G743" s="6" t="inlineStr">
        <is>
          <t>AI-R06, AI-R07, AI-R08, AI-R22, AI-R25</t>
        </is>
      </c>
      <c r="H743" s="6" t="inlineStr">
        <is>
          <t>Derived via mapped controls</t>
        </is>
      </c>
      <c r="I743" s="6" t="inlineStr">
        <is>
          <t>Direct</t>
        </is>
      </c>
      <c r="J743" s="6" t="inlineStr">
        <is>
          <t>Test cases: TC-L09-027, TC-L09-002, TC-L09-003; Notes: Whether a given credential design satisfies 8.4.2 is for the assessor.</t>
        </is>
      </c>
      <c r="K743" s="6" t="inlineStr">
        <is>
          <t>https://nachi065.github.io/AI-Security-Wiki/23_Framework_Crosswalks/21_PCI_DSS_AI_Crosswalk.html</t>
        </is>
      </c>
    </row>
    <row r="744">
      <c r="A744" s="157" t="inlineStr">
        <is>
          <t>Security baselines</t>
        </is>
      </c>
      <c r="B744" s="157" t="inlineStr">
        <is>
          <t>PCI DSS v4.0.1 requirements (AI)</t>
        </is>
      </c>
      <c r="C744" s="157" t="inlineStr">
        <is>
          <t>PCI DSS requirements the supplement applies to AI</t>
        </is>
      </c>
      <c r="D744" s="157" t="inlineStr">
        <is>
          <t>12.5.1 (inventory of system components)</t>
        </is>
      </c>
      <c r="E744" s="157" t="inlineStr">
        <is>
          <t>Add AI deployments to the component inventory.</t>
        </is>
      </c>
      <c r="F744" s="157" t="inlineStr">
        <is>
          <t>AI-CTRL-011, AI-CTRL-031</t>
        </is>
      </c>
      <c r="G744" s="157" t="inlineStr">
        <is>
          <t>AI-R02, AI-R08, AI-R16, AI-R18, AI-R23</t>
        </is>
      </c>
      <c r="H744" s="157" t="inlineStr">
        <is>
          <t>Derived via mapped controls</t>
        </is>
      </c>
      <c r="I744" s="157" t="inlineStr">
        <is>
          <t>Direct</t>
        </is>
      </c>
      <c r="J744" s="157" t="inlineStr">
        <is>
          <t>Test cases: TC-L05-008, TC-L09-001, TC-L16-001</t>
        </is>
      </c>
      <c r="K744" s="157" t="inlineStr">
        <is>
          <t>https://nachi065.github.io/AI-Security-Wiki/23_Framework_Crosswalks/21_PCI_DSS_AI_Crosswalk.html</t>
        </is>
      </c>
    </row>
    <row r="745">
      <c r="A745" s="6" t="inlineStr">
        <is>
          <t>Security baselines</t>
        </is>
      </c>
      <c r="B745" s="6" t="inlineStr">
        <is>
          <t>PCI DSS v4.0.1 requirements (AI)</t>
        </is>
      </c>
      <c r="C745" s="6" t="inlineStr">
        <is>
          <t>PCI DSS requirements the supplement applies to AI</t>
        </is>
      </c>
      <c r="D745" s="6" t="inlineStr">
        <is>
          <t>12.5.2 (scope confirmation)</t>
        </is>
      </c>
      <c r="E745" s="6" t="inlineStr">
        <is>
          <t>Always review AI systems when confirming PCI DSS scope.</t>
        </is>
      </c>
      <c r="F745" s="6" t="inlineStr">
        <is>
          <t>AI-CTRL-011, AI-CTRL-017</t>
        </is>
      </c>
      <c r="G745" s="6" t="inlineStr">
        <is>
          <t>AI-R01, AI-R02, AI-R03, AI-R06, AI-R17, AI-R18</t>
        </is>
      </c>
      <c r="H745" s="6" t="inlineStr">
        <is>
          <t>Derived via mapped controls</t>
        </is>
      </c>
      <c r="I745" s="6" t="inlineStr">
        <is>
          <t>Direct</t>
        </is>
      </c>
      <c r="J745" s="6" t="inlineStr">
        <is>
          <t>Test cases: TC-L10-035; Notes: The supplement's Example 2 shows an agent holding encrypted card data in and out of scope depending on isolation.</t>
        </is>
      </c>
      <c r="K745" s="6" t="inlineStr">
        <is>
          <t>https://nachi065.github.io/AI-Security-Wiki/23_Framework_Crosswalks/21_PCI_DSS_AI_Crosswalk.html</t>
        </is>
      </c>
    </row>
    <row r="746">
      <c r="A746" s="157" t="inlineStr">
        <is>
          <t>Security baselines</t>
        </is>
      </c>
      <c r="B746" s="157" t="inlineStr">
        <is>
          <t>PCI DSS v4.0.1 requirements (AI)</t>
        </is>
      </c>
      <c r="C746" s="157" t="inlineStr">
        <is>
          <t>PCI DSS requirements the supplement applies to AI</t>
        </is>
      </c>
      <c r="D746" s="157" t="inlineStr">
        <is>
          <t>12.8.x (third-party service providers)</t>
        </is>
      </c>
      <c r="E746" s="157" t="inlineStr">
        <is>
          <t>Any external party that provides or hosts part of an AI system with access to sensitive data is a third-party service provider and 12.8.x applies in full.</t>
        </is>
      </c>
      <c r="F746" s="157" t="inlineStr">
        <is>
          <t>AI-CTRL-014</t>
        </is>
      </c>
      <c r="G746" s="157" t="inlineStr">
        <is>
          <t>AI-R08, AI-R10, AI-R16</t>
        </is>
      </c>
      <c r="H746" s="157" t="inlineStr">
        <is>
          <t>Derived via mapped controls</t>
        </is>
      </c>
      <c r="I746" s="157" t="inlineStr">
        <is>
          <t>Direct</t>
        </is>
      </c>
      <c r="J746" s="157" t="inlineStr">
        <is>
          <t>Test cases: TC-L16-011, TC-L16-010, TC-L10-025, TC-L05-036; Notes: The supplement lists the terms: responsibility for account data, a bar on training with entity data, sub-processor visibility, breach notification and due diligence on a set cycle.</t>
        </is>
      </c>
      <c r="K746" s="157" t="inlineStr">
        <is>
          <t>https://nachi065.github.io/AI-Security-Wiki/23_Framework_Crosswalks/21_PCI_DSS_AI_Crosswalk.html</t>
        </is>
      </c>
    </row>
    <row r="747">
      <c r="A747" s="6" t="inlineStr">
        <is>
          <t>Security baselines</t>
        </is>
      </c>
      <c r="B747" s="6" t="inlineStr">
        <is>
          <t>PCI DSS v4.0.1 requirements (AI)</t>
        </is>
      </c>
      <c r="C747" s="6" t="inlineStr">
        <is>
          <t>PCI DSS requirements the supplement applies to AI</t>
        </is>
      </c>
      <c r="D747" s="6" t="inlineStr">
        <is>
          <t>12.10.x (incident response)</t>
        </is>
      </c>
      <c r="E747" s="6" t="inlineStr">
        <is>
          <t>Include AI failure scenarios in the incident response plan and its tests: prompt injection, model poisoning, action outside defined scope, shadow AI with sensitive data.</t>
        </is>
      </c>
      <c r="F747" s="6" t="inlineStr">
        <is>
          <t>AI-CTRL-035</t>
        </is>
      </c>
      <c r="G747" s="6" t="inlineStr">
        <is>
          <t>AI-R09, AI-R20</t>
        </is>
      </c>
      <c r="H747" s="6" t="inlineStr">
        <is>
          <t>Derived via mapped controls</t>
        </is>
      </c>
      <c r="I747" s="6" t="inlineStr">
        <is>
          <t>Direct</t>
        </is>
      </c>
      <c r="J747" s="6" t="inlineStr">
        <is>
          <t>Test cases: TC-L17-018, TC-D12-001, TC-D12-013</t>
        </is>
      </c>
      <c r="K747" s="6" t="inlineStr">
        <is>
          <t>https://nachi065.github.io/AI-Security-Wiki/23_Framework_Crosswalks/21_PCI_DSS_AI_Crosswalk.html</t>
        </is>
      </c>
    </row>
    <row r="748">
      <c r="A748" s="157" t="inlineStr">
        <is>
          <t>Security baselines</t>
        </is>
      </c>
      <c r="B748" s="157" t="inlineStr">
        <is>
          <t>PCI DSS v4.0.1 requirements (AI)</t>
        </is>
      </c>
      <c r="C748" s="157" t="inlineStr">
        <is>
          <t>PCI DSS requirements the supplement applies to AI</t>
        </is>
      </c>
      <c r="D748" s="157" t="inlineStr">
        <is>
          <t>Targeted risk analysis (not numbered in th...</t>
        </is>
      </c>
      <c r="E748" s="157" t="inlineStr">
        <is>
          <t>Review AI system performance at least quarterly, or at a frequency set by targeted risk analysis; validate before go-live and after any change; pin third-party model versions.</t>
        </is>
      </c>
      <c r="F748" s="157" t="inlineStr">
        <is>
          <t>AI-CTRL-031, AI-CTRL-034, AI-CTRL-037</t>
        </is>
      </c>
      <c r="G748" s="157" t="inlineStr">
        <is>
          <t>AI-R02, AI-R05, AI-R07, AI-R08, AI-R16, AI-R17, AI-R18, AI-R20, AI-R23, AI-R28, AI-R55</t>
        </is>
      </c>
      <c r="H748" s="157" t="inlineStr">
        <is>
          <t>Derived via mapped controls</t>
        </is>
      </c>
      <c r="I748" s="157" t="inlineStr">
        <is>
          <t>Direct</t>
        </is>
      </c>
      <c r="J748" s="157" t="inlineStr">
        <is>
          <t>Test cases: TC-D08-019, TC-L16-013</t>
        </is>
      </c>
      <c r="K748" s="157" t="inlineStr">
        <is>
          <t>https://nachi065.github.io/AI-Security-Wiki/23_Framework_Crosswalks/21_PCI_DSS_AI_Crosswalk.html</t>
        </is>
      </c>
    </row>
    <row r="749">
      <c r="A749" s="6" t="inlineStr">
        <is>
          <t>Security baselines</t>
        </is>
      </c>
      <c r="B749" s="6" t="inlineStr">
        <is>
          <t>PCI DSS v4.0.1 requirements (AI)</t>
        </is>
      </c>
      <c r="C749" s="6" t="inlineStr">
        <is>
          <t>PCI DSS requirements the supplement applies to AI</t>
        </is>
      </c>
      <c r="D749" s="6" t="inlineStr">
        <is>
          <t>Logging (not numbered; Requirement 10 [Rec...</t>
        </is>
      </c>
      <c r="E749" s="6" t="inlineStr">
        <is>
          <t>Log AI systems in enough detail to validate, investigate, attribute and reconstruct AI-assisted actions, without storing account data.</t>
        </is>
      </c>
      <c r="F749" s="6" t="inlineStr">
        <is>
          <t>AI-CTRL-008</t>
        </is>
      </c>
      <c r="G749" s="6" t="inlineStr">
        <is>
          <t>AI-R09, AI-R15, AI-R26</t>
        </is>
      </c>
      <c r="H749" s="6" t="inlineStr">
        <is>
          <t>Derived via mapped controls</t>
        </is>
      </c>
      <c r="I749" s="6" t="inlineStr">
        <is>
          <t>Direct</t>
        </is>
      </c>
      <c r="J749" s="6" t="inlineStr">
        <is>
          <t>Test cases: TC-L06-028, TC-L08-040</t>
        </is>
      </c>
      <c r="K749" s="6" t="inlineStr">
        <is>
          <t>https://nachi065.github.io/AI-Security-Wiki/23_Framework_Crosswalks/21_PCI_DSS_AI_Crosswalk.html</t>
        </is>
      </c>
    </row>
    <row r="750">
      <c r="A750" s="157" t="inlineStr">
        <is>
          <t>Security baselines</t>
        </is>
      </c>
      <c r="B750" s="157" t="inlineStr">
        <is>
          <t>PCI DSS v4.0.1 requirements (AI)</t>
        </is>
      </c>
      <c r="C750" s="157" t="inlineStr">
        <is>
          <t>PCI DSS requirements the supplement applies to AI</t>
        </is>
      </c>
      <c r="D750" s="157" t="inlineStr">
        <is>
          <t>Penetration and segmentation testing (not ...</t>
        </is>
      </c>
      <c r="E750" s="157" t="inlineStr">
        <is>
          <t>Include the controls that isolate AI systems in penetration and segmentation testing scope.</t>
        </is>
      </c>
      <c r="F750" s="157" t="inlineStr">
        <is>
          <t>AI-CTRL-027, AI-CTRL-034</t>
        </is>
      </c>
      <c r="G750" s="157" t="inlineStr">
        <is>
          <t>AI-R05, AI-R07, AI-R16, AI-R17, AI-R20, AI-R21, AI-R22, AI-R25, AI-R55</t>
        </is>
      </c>
      <c r="H750" s="157" t="inlineStr">
        <is>
          <t>Derived via mapped controls</t>
        </is>
      </c>
      <c r="I750" s="157" t="inlineStr">
        <is>
          <t>Partial</t>
        </is>
      </c>
      <c r="J750" s="157" t="inlineStr">
        <is>
          <t>Test cases: TC-L10-035, TC-L06-026; Notes: The wiki tests isolation itself; it does not cover the organisation's penetration testing programme.</t>
        </is>
      </c>
      <c r="K750" s="157" t="inlineStr">
        <is>
          <t>https://nachi065.github.io/AI-Security-Wiki/23_Framework_Crosswalks/21_PCI_DSS_AI_Crosswalk.html</t>
        </is>
      </c>
    </row>
    <row r="751">
      <c r="A751" s="6" t="inlineStr">
        <is>
          <t>Security baselines</t>
        </is>
      </c>
      <c r="B751" s="6" t="inlineStr">
        <is>
          <t>PCI DSS v4.0.1 requirements (AI)</t>
        </is>
      </c>
      <c r="C751" s="6" t="inlineStr">
        <is>
          <t>PCI DSS requirements the supplement applies to AI</t>
        </is>
      </c>
      <c r="D751" s="6" t="inlineStr">
        <is>
          <t>Payment page scripts (not numbered; 6.4.3 ...</t>
        </is>
      </c>
      <c r="E751" s="6" t="inlineStr">
        <is>
          <t>Authorise, inventory and monitor for tampering any AI system implemented within a payment page, like other page scripts.</t>
        </is>
      </c>
      <c r="F751" s="6" t="inlineStr">
        <is>
          <t>AI-CTRL-014, AI-CTRL-031</t>
        </is>
      </c>
      <c r="G751" s="6" t="inlineStr">
        <is>
          <t>AI-R08, AI-R10, AI-R16, AI-R23</t>
        </is>
      </c>
      <c r="H751" s="6" t="inlineStr">
        <is>
          <t>Derived via mapped controls</t>
        </is>
      </c>
      <c r="I751" s="6" t="inlineStr">
        <is>
          <t>Direct</t>
        </is>
      </c>
      <c r="J751" s="6" t="inlineStr">
        <is>
          <t>Test cases: TC-L05-036</t>
        </is>
      </c>
      <c r="K751" s="6" t="inlineStr">
        <is>
          <t>https://nachi065.github.io/AI-Security-Wiki/23_Framework_Crosswalks/21_PCI_DSS_AI_Crosswalk.html</t>
        </is>
      </c>
    </row>
    <row r="752">
      <c r="A752" s="157" t="inlineStr">
        <is>
          <t>Security baselines</t>
        </is>
      </c>
      <c r="B752" s="157" t="inlineStr">
        <is>
          <t>PCI DSS v4.0.1 requirements (AI)</t>
        </is>
      </c>
      <c r="C752" s="157" t="inlineStr">
        <is>
          <t>PCI DSS requirements the supplement applies to AI</t>
        </is>
      </c>
      <c r="D752" s="157" t="inlineStr">
        <is>
          <t>Vulnerability scanning (not numbered; 11.3...</t>
        </is>
      </c>
      <c r="E752" s="157" t="inlineStr">
        <is>
          <t>Quarterly scans remain required; the supplement recommends continuous scanning and a rapid triage process because AI speeds up exploitation.</t>
        </is>
      </c>
      <c r="F752" s="157" t="inlineStr">
        <is>
          <t>AI-CTRL-037</t>
        </is>
      </c>
      <c r="G752" s="157" t="inlineStr">
        <is>
          <t>AI-R55</t>
        </is>
      </c>
      <c r="H752" s="157" t="inlineStr">
        <is>
          <t>Wiki maps risks directly</t>
        </is>
      </c>
      <c r="I752" s="157" t="inlineStr">
        <is>
          <t>Partial</t>
        </is>
      </c>
      <c r="J752" s="157" t="inlineStr">
        <is>
          <t>Test cases: TC-L14-023</t>
        </is>
      </c>
      <c r="K752" s="157" t="inlineStr">
        <is>
          <t>https://nachi065.github.io/AI-Security-Wiki/23_Framework_Crosswalks/21_PCI_DSS_AI_Crosswalk.html</t>
        </is>
      </c>
    </row>
    <row r="753">
      <c r="A753" s="6" t="inlineStr">
        <is>
          <t>Security baselines</t>
        </is>
      </c>
      <c r="B753" s="6" t="inlineStr">
        <is>
          <t>PCI SSC AI guidance themes</t>
        </is>
      </c>
      <c r="C753" s="6" t="inlineStr">
        <is>
          <t>Securing the use of AI</t>
        </is>
      </c>
      <c r="D753" s="6" t="inlineStr">
        <is>
          <t>Limits of AI use</t>
        </is>
      </c>
      <c r="E753" s="6" t="inlineStr">
        <is>
          <t>The five things an AI system should not do (see above).</t>
        </is>
      </c>
      <c r="F753" s="6" t="inlineStr">
        <is>
          <t>AI-CTRL-015, AI-CTRL-016, AI-CTRL-017, AI-CTRL-045</t>
        </is>
      </c>
      <c r="G753" s="6" t="inlineStr">
        <is>
          <t>AI-R01, AI-R03, AI-R06, AI-R07, AI-R08, AI-R12, AI-R14, AI-R17, AI-R18, AI-R19, AI-R22, AI-R25, AI-R28</t>
        </is>
      </c>
      <c r="H753" s="6" t="inlineStr">
        <is>
          <t>Derived via mapped controls</t>
        </is>
      </c>
      <c r="I753" s="6" t="inlineStr">
        <is>
          <t>Direct</t>
        </is>
      </c>
      <c r="J753" s="6" t="inlineStr">
        <is>
          <t>Test cases: TC-L10-034, TC-L09-002, TC-L01-022</t>
        </is>
      </c>
      <c r="K753" s="6" t="inlineStr">
        <is>
          <t>https://nachi065.github.io/AI-Security-Wiki/23_Framework_Crosswalks/21_PCI_DSS_AI_Crosswalk.html</t>
        </is>
      </c>
    </row>
    <row r="754">
      <c r="A754" s="157" t="inlineStr">
        <is>
          <t>Security baselines</t>
        </is>
      </c>
      <c r="B754" s="157" t="inlineStr">
        <is>
          <t>PCI SSC AI guidance themes</t>
        </is>
      </c>
      <c r="C754" s="157" t="inlineStr">
        <is>
          <t>Securing the use of AI</t>
        </is>
      </c>
      <c r="D754" s="157" t="inlineStr">
        <is>
          <t>AI system inputs and functional limitations</t>
        </is>
      </c>
      <c r="E754" s="157" t="inlineStr">
        <is>
          <t>Models cannot reliably tell instructions from data, guardrails can be bypassed, and output is non-deterministic and drifts.</t>
        </is>
      </c>
      <c r="F754" s="157" t="inlineStr">
        <is>
          <t>AI-CTRL-005, AI-CTRL-034</t>
        </is>
      </c>
      <c r="G754" s="157" t="inlineStr">
        <is>
          <t>AI-R05, AI-R06, AI-R07, AI-R16, AI-R17, AI-R20, AI-R24</t>
        </is>
      </c>
      <c r="H754" s="157" t="inlineStr">
        <is>
          <t>Derived via mapped controls</t>
        </is>
      </c>
      <c r="I754" s="157" t="inlineStr">
        <is>
          <t>Direct</t>
        </is>
      </c>
      <c r="J754" s="157" t="inlineStr">
        <is>
          <t>Test cases: TC-L07-005, TC-D08-019</t>
        </is>
      </c>
      <c r="K754" s="157" t="inlineStr">
        <is>
          <t>https://nachi065.github.io/AI-Security-Wiki/23_Framework_Crosswalks/21_PCI_DSS_AI_Crosswalk.html</t>
        </is>
      </c>
    </row>
    <row r="755">
      <c r="A755" s="6" t="inlineStr">
        <is>
          <t>Security baselines</t>
        </is>
      </c>
      <c r="B755" s="6" t="inlineStr">
        <is>
          <t>PCI SSC AI guidance themes</t>
        </is>
      </c>
      <c r="C755" s="6" t="inlineStr">
        <is>
          <t>Securing the use of AI</t>
        </is>
      </c>
      <c r="D755" s="6" t="inlineStr">
        <is>
          <t>Requirements, scoping and threat modelling</t>
        </is>
      </c>
      <c r="E755" s="6" t="inlineStr">
        <is>
          <t>Define purpose, data, users and systems first; set guardrails from a threat model.</t>
        </is>
      </c>
      <c r="F755" s="6" t="inlineStr">
        <is>
          <t>AI-CTRL-011, AI-CTRL-033</t>
        </is>
      </c>
      <c r="G755" s="6" t="inlineStr">
        <is>
          <t>AI-R02, AI-R05, AI-R07, AI-R08, AI-R14, AI-R16, AI-R18, AI-R55</t>
        </is>
      </c>
      <c r="H755" s="6" t="inlineStr">
        <is>
          <t>Derived via mapped controls</t>
        </is>
      </c>
      <c r="I755" s="6" t="inlineStr">
        <is>
          <t>Direct</t>
        </is>
      </c>
      <c r="J755" s="6" t="inlineStr">
        <is>
          <t>Test cases: TC-L01-002, TC-L01-005</t>
        </is>
      </c>
      <c r="K755" s="6" t="inlineStr">
        <is>
          <t>https://nachi065.github.io/AI-Security-Wiki/23_Framework_Crosswalks/21_PCI_DSS_AI_Crosswalk.html</t>
        </is>
      </c>
    </row>
    <row r="756">
      <c r="A756" s="157" t="inlineStr">
        <is>
          <t>Security baselines</t>
        </is>
      </c>
      <c r="B756" s="157" t="inlineStr">
        <is>
          <t>PCI SSC AI guidance themes</t>
        </is>
      </c>
      <c r="C756" s="157" t="inlineStr">
        <is>
          <t>Securing the use of AI</t>
        </is>
      </c>
      <c r="D756" s="157" t="inlineStr">
        <is>
          <t>Adaptation and provenance</t>
        </is>
      </c>
      <c r="E756" s="157" t="inlineStr">
        <is>
          <t>Consider where the model, tools and harnesses come from, how they were trained, and whether training leaves sensitive data in model artefacts that retention and disposal rules then cover.</t>
        </is>
      </c>
      <c r="F756" s="157" t="inlineStr">
        <is>
          <t>AI-CTRL-029, AI-CTRL-031, AI-CTRL-042</t>
        </is>
      </c>
      <c r="G756" s="157" t="inlineStr">
        <is>
          <t>AI-R08, AI-R10, AI-R12, AI-R16, AI-R23, AI-R28</t>
        </is>
      </c>
      <c r="H756" s="157" t="inlineStr">
        <is>
          <t>Derived via mapped controls</t>
        </is>
      </c>
      <c r="I756" s="157" t="inlineStr">
        <is>
          <t>Direct</t>
        </is>
      </c>
      <c r="J756" s="157" t="inlineStr">
        <is>
          <t>Test cases: TC-L13-006, TC-L12-008, TC-L13-019</t>
        </is>
      </c>
      <c r="K756" s="157" t="inlineStr">
        <is>
          <t>https://nachi065.github.io/AI-Security-Wiki/23_Framework_Crosswalks/21_PCI_DSS_AI_Crosswalk.html</t>
        </is>
      </c>
    </row>
    <row r="757">
      <c r="A757" s="6" t="inlineStr">
        <is>
          <t>Security baselines</t>
        </is>
      </c>
      <c r="B757" s="6" t="inlineStr">
        <is>
          <t>PCI SSC AI guidance themes</t>
        </is>
      </c>
      <c r="C757" s="6" t="inlineStr">
        <is>
          <t>Securing the use of AI</t>
        </is>
      </c>
      <c r="D757" s="6" t="inlineStr">
        <is>
          <t>Evaluation of deployment controls</t>
        </is>
      </c>
      <c r="E757" s="6" t="inlineStr">
        <is>
          <t>Validate guardrails with adversarial and red-team testing before functional and user acceptance testing, and monitor closely while testing.</t>
        </is>
      </c>
      <c r="F757" s="6" t="inlineStr">
        <is>
          <t>AI-CTRL-033, AI-CTRL-034</t>
        </is>
      </c>
      <c r="G757" s="6" t="inlineStr">
        <is>
          <t>AI-R05, AI-R07, AI-R08, AI-R14, AI-R16, AI-R17, AI-R20, AI-R55</t>
        </is>
      </c>
      <c r="H757" s="6" t="inlineStr">
        <is>
          <t>Derived via mapped controls</t>
        </is>
      </c>
      <c r="I757" s="6" t="inlineStr">
        <is>
          <t>Direct</t>
        </is>
      </c>
      <c r="J757" s="6" t="inlineStr">
        <is>
          <t>Test cases: TC-D08-001, TC-L07-024</t>
        </is>
      </c>
      <c r="K757" s="6" t="inlineStr">
        <is>
          <t>https://nachi065.github.io/AI-Security-Wiki/23_Framework_Crosswalks/21_PCI_DSS_AI_Crosswalk.html</t>
        </is>
      </c>
    </row>
    <row r="758">
      <c r="A758" s="157" t="inlineStr">
        <is>
          <t>Security baselines</t>
        </is>
      </c>
      <c r="B758" s="157" t="inlineStr">
        <is>
          <t>PCI SSC AI guidance themes</t>
        </is>
      </c>
      <c r="C758" s="157" t="inlineStr">
        <is>
          <t>Securing the use of AI</t>
        </is>
      </c>
      <c r="D758" s="157" t="inlineStr">
        <is>
          <t>Use, monitoring and revalidation</t>
        </is>
      </c>
      <c r="E758" s="157" t="inlineStr">
        <is>
          <t>No AI system is ever finished; assume drift and keep revalidating.</t>
        </is>
      </c>
      <c r="F758" s="157" t="inlineStr">
        <is>
          <t>AI-CTRL-034</t>
        </is>
      </c>
      <c r="G758" s="157" t="inlineStr">
        <is>
          <t>AI-R05, AI-R07, AI-R16, AI-R17, AI-R20</t>
        </is>
      </c>
      <c r="H758" s="157" t="inlineStr">
        <is>
          <t>Derived via mapped controls</t>
        </is>
      </c>
      <c r="I758" s="157" t="inlineStr">
        <is>
          <t>Direct</t>
        </is>
      </c>
      <c r="J758" s="157" t="inlineStr">
        <is>
          <t>Test cases: TC-D08-019, TC-L16-013</t>
        </is>
      </c>
      <c r="K758" s="157" t="inlineStr">
        <is>
          <t>https://nachi065.github.io/AI-Security-Wiki/23_Framework_Crosswalks/21_PCI_DSS_AI_Crosswalk.html</t>
        </is>
      </c>
    </row>
    <row r="759">
      <c r="A759" s="6" t="inlineStr">
        <is>
          <t>Security baselines</t>
        </is>
      </c>
      <c r="B759" s="6" t="inlineStr">
        <is>
          <t>PCI SSC AI guidance themes</t>
        </is>
      </c>
      <c r="C759" s="6" t="inlineStr">
        <is>
          <t>Securing the use of AI</t>
        </is>
      </c>
      <c r="D759" s="6" t="inlineStr">
        <is>
          <t>Internal and external AI systems</t>
        </is>
      </c>
      <c r="E759" s="6" t="inlineStr">
        <is>
          <t>Sending sensitive data to an external AI system reduces or removes control over it; internal systems may suit more sensitive work.</t>
        </is>
      </c>
      <c r="F759" s="6" t="inlineStr">
        <is>
          <t>AI-CTRL-007, AI-CTRL-014</t>
        </is>
      </c>
      <c r="G759" s="6" t="inlineStr">
        <is>
          <t>AI-R08, AI-R10, AI-R16</t>
        </is>
      </c>
      <c r="H759" s="6" t="inlineStr">
        <is>
          <t>Derived via mapped controls</t>
        </is>
      </c>
      <c r="I759" s="6" t="inlineStr">
        <is>
          <t>Direct</t>
        </is>
      </c>
      <c r="J759" s="6" t="inlineStr">
        <is>
          <t>Test cases: TC-L10-025, TC-L10-014</t>
        </is>
      </c>
      <c r="K759" s="6" t="inlineStr">
        <is>
          <t>https://nachi065.github.io/AI-Security-Wiki/23_Framework_Crosswalks/21_PCI_DSS_AI_Crosswalk.html</t>
        </is>
      </c>
    </row>
    <row r="760">
      <c r="A760" s="157" t="inlineStr">
        <is>
          <t>Security baselines</t>
        </is>
      </c>
      <c r="B760" s="157" t="inlineStr">
        <is>
          <t>PCI SSC AI guidance themes</t>
        </is>
      </c>
      <c r="C760" s="157" t="inlineStr">
        <is>
          <t>Securing the use of AI</t>
        </is>
      </c>
      <c r="D760" s="157" t="inlineStr">
        <is>
          <t>AI inventory and AI-BOM</t>
        </is>
      </c>
      <c r="E760" s="157" t="inlineStr">
        <is>
          <t>Inventory approved systems; keep an AI-BOM per system with model and version, harness, data and system access, hosting, data use and retention, users and integrations.</t>
        </is>
      </c>
      <c r="F760" s="157" t="inlineStr">
        <is>
          <t>AI-CTRL-011, AI-CTRL-031</t>
        </is>
      </c>
      <c r="G760" s="157" t="inlineStr">
        <is>
          <t>AI-R02, AI-R08, AI-R16, AI-R18, AI-R23</t>
        </is>
      </c>
      <c r="H760" s="157" t="inlineStr">
        <is>
          <t>Derived via mapped controls</t>
        </is>
      </c>
      <c r="I760" s="157" t="inlineStr">
        <is>
          <t>Direct</t>
        </is>
      </c>
      <c r="J760" s="157" t="inlineStr">
        <is>
          <t>Test cases: TC-L16-001, TC-L12-019, TC-L06-002</t>
        </is>
      </c>
      <c r="K760" s="157" t="inlineStr">
        <is>
          <t>https://nachi065.github.io/AI-Security-Wiki/23_Framework_Crosswalks/21_PCI_DSS_AI_Crosswalk.html</t>
        </is>
      </c>
    </row>
    <row r="761">
      <c r="A761" s="6" t="inlineStr">
        <is>
          <t>Security baselines</t>
        </is>
      </c>
      <c r="B761" s="6" t="inlineStr">
        <is>
          <t>PCI SSC AI guidance themes</t>
        </is>
      </c>
      <c r="C761" s="6" t="inlineStr">
        <is>
          <t>Securing the use of AI</t>
        </is>
      </c>
      <c r="D761" s="6" t="inlineStr">
        <is>
          <t>Shadow AI</t>
        </is>
      </c>
      <c r="E761" s="6" t="inlineStr">
        <is>
          <t>Do not rely on policy alone: restrict and monitor AI sites, scan endpoints for local AI and add-ons, allow-list software, watch for MCP traffic.</t>
        </is>
      </c>
      <c r="F761" s="6" t="inlineStr">
        <is>
          <t>AI-CTRL-001, AI-CTRL-010</t>
        </is>
      </c>
      <c r="G761" s="6" t="inlineStr">
        <is>
          <t>AI-R01, AI-R02, AI-R03</t>
        </is>
      </c>
      <c r="H761" s="6" t="inlineStr">
        <is>
          <t>Derived via mapped controls</t>
        </is>
      </c>
      <c r="I761" s="6" t="inlineStr">
        <is>
          <t>Direct</t>
        </is>
      </c>
      <c r="J761" s="6" t="inlineStr">
        <is>
          <t>Test cases: TC-L04-002, TC-L05-031, TC-L06-003, TC-L06-037</t>
        </is>
      </c>
      <c r="K761" s="6" t="inlineStr">
        <is>
          <t>https://nachi065.github.io/AI-Security-Wiki/23_Framework_Crosswalks/21_PCI_DSS_AI_Crosswalk.html</t>
        </is>
      </c>
    </row>
    <row r="762">
      <c r="A762" s="157" t="inlineStr">
        <is>
          <t>Security baselines</t>
        </is>
      </c>
      <c r="B762" s="157" t="inlineStr">
        <is>
          <t>PCI SSC AI guidance themes</t>
        </is>
      </c>
      <c r="C762" s="157" t="inlineStr">
        <is>
          <t>Securing the use of AI</t>
        </is>
      </c>
      <c r="D762" s="157" t="inlineStr">
        <is>
          <t>Access and containment</t>
        </is>
      </c>
      <c r="E762" s="157" t="inlineStr">
        <is>
          <t>Treat any AI system as a potential malicious insider; an AI system with shell access has access to everything that shell can reach.</t>
        </is>
      </c>
      <c r="F762" s="157" t="inlineStr">
        <is>
          <t>AI-CTRL-016, AI-CTRL-027</t>
        </is>
      </c>
      <c r="G762" s="157" t="inlineStr">
        <is>
          <t>AI-R06, AI-R07, AI-R08, AI-R21, AI-R22, AI-R25, AI-R55</t>
        </is>
      </c>
      <c r="H762" s="157" t="inlineStr">
        <is>
          <t>Derived via mapped controls</t>
        </is>
      </c>
      <c r="I762" s="157" t="inlineStr">
        <is>
          <t>Direct</t>
        </is>
      </c>
      <c r="J762" s="157" t="inlineStr">
        <is>
          <t>Test cases: TC-L06-025, TC-L06-026, TC-L09-007</t>
        </is>
      </c>
      <c r="K762" s="157" t="inlineStr">
        <is>
          <t>https://nachi065.github.io/AI-Security-Wiki/23_Framework_Crosswalks/21_PCI_DSS_AI_Crosswalk.html</t>
        </is>
      </c>
    </row>
    <row r="763">
      <c r="A763" s="6" t="inlineStr">
        <is>
          <t>Security baselines</t>
        </is>
      </c>
      <c r="B763" s="6" t="inlineStr">
        <is>
          <t>PCI SSC AI guidance themes</t>
        </is>
      </c>
      <c r="C763" s="6" t="inlineStr">
        <is>
          <t>Securing the use of AI</t>
        </is>
      </c>
      <c r="D763" s="6" t="inlineStr">
        <is>
          <t>Human in the loop or over the loop</t>
        </is>
      </c>
      <c r="E763" s="6" t="inlineStr">
        <is>
          <t>Answer the listed questions before letting an agent act without per-action approval; a suitable human stays accountable.</t>
        </is>
      </c>
      <c r="F763" s="6" t="inlineStr">
        <is>
          <t>AI-CTRL-023, AI-CTRL-025, AI-CTRL-045</t>
        </is>
      </c>
      <c r="G763" s="6" t="inlineStr">
        <is>
          <t>AI-R07, AI-R11, AI-R12, AI-R14, AI-R18, AI-R19, AI-R21, AI-R25, AI-R28, AI-R55</t>
        </is>
      </c>
      <c r="H763" s="6" t="inlineStr">
        <is>
          <t>Derived via mapped controls</t>
        </is>
      </c>
      <c r="I763" s="6" t="inlineStr">
        <is>
          <t>Direct</t>
        </is>
      </c>
      <c r="J763" s="6" t="inlineStr">
        <is>
          <t>Test cases: TC-L01-022, TC-L06-015, TC-L01-012; Notes: New case TC-L01-022 checks the record.</t>
        </is>
      </c>
      <c r="K763" s="6" t="inlineStr">
        <is>
          <t>https://nachi065.github.io/AI-Security-Wiki/23_Framework_Crosswalks/21_PCI_DSS_AI_Crosswalk.html</t>
        </is>
      </c>
    </row>
    <row r="764">
      <c r="A764" s="157" t="inlineStr">
        <is>
          <t>Security baselines</t>
        </is>
      </c>
      <c r="B764" s="157" t="inlineStr">
        <is>
          <t>PCI SSC AI guidance themes</t>
        </is>
      </c>
      <c r="C764" s="157" t="inlineStr">
        <is>
          <t>Securing the use of AI</t>
        </is>
      </c>
      <c r="D764" s="157" t="inlineStr">
        <is>
          <t>Credentials constrained outside the AI system</t>
        </is>
      </c>
      <c r="E764" s="157" t="inlineStr">
        <is>
          <t>Enforce limits on agent credentials through IAM, brokered access or network controls, not the agent's own configuration; time-bound or device-bound where possible.</t>
        </is>
      </c>
      <c r="F764" s="157" t="inlineStr">
        <is>
          <t>AI-CTRL-016, AI-CTRL-022</t>
        </is>
      </c>
      <c r="G764" s="157" t="inlineStr">
        <is>
          <t>AI-R06, AI-R07, AI-R08, AI-R22, AI-R24</t>
        </is>
      </c>
      <c r="H764" s="157" t="inlineStr">
        <is>
          <t>Derived via mapped controls</t>
        </is>
      </c>
      <c r="I764" s="157" t="inlineStr">
        <is>
          <t>Direct</t>
        </is>
      </c>
      <c r="J764" s="157" t="inlineStr">
        <is>
          <t>Test cases: TC-L09-003, TC-L09-004, TC-L09-027</t>
        </is>
      </c>
      <c r="K764" s="157" t="inlineStr">
        <is>
          <t>https://nachi065.github.io/AI-Security-Wiki/23_Framework_Crosswalks/21_PCI_DSS_AI_Crosswalk.html</t>
        </is>
      </c>
    </row>
    <row r="765">
      <c r="A765" s="6" t="inlineStr">
        <is>
          <t>Security baselines</t>
        </is>
      </c>
      <c r="B765" s="6" t="inlineStr">
        <is>
          <t>PCI SSC AI guidance themes</t>
        </is>
      </c>
      <c r="C765" s="6" t="inlineStr">
        <is>
          <t>Securing the use of AI</t>
        </is>
      </c>
      <c r="D765" s="6" t="inlineStr">
        <is>
          <t>Multiple agents</t>
        </is>
      </c>
      <c r="E765" s="6" t="inlineStr">
        <is>
          <t>Split work so no single agent can complete a harmful task; guard against agents passing on untrusted prompts or colluding.</t>
        </is>
      </c>
      <c r="F765" s="6" t="inlineStr">
        <is>
          <t>AI-CTRL-006, AI-CTRL-015, AI-CTRL-022</t>
        </is>
      </c>
      <c r="G765" s="6" t="inlineStr">
        <is>
          <t>AI-R07, AI-R22, AI-R24, AI-R25</t>
        </is>
      </c>
      <c r="H765" s="6" t="inlineStr">
        <is>
          <t>Derived via mapped controls</t>
        </is>
      </c>
      <c r="I765" s="6" t="inlineStr">
        <is>
          <t>Partial</t>
        </is>
      </c>
      <c r="J765" s="6" t="inlineStr">
        <is>
          <t>Test cases: TC-L06-039, TC-L06-040, TC-L06-017; Notes: The wiki tests agent-to-agent authority and message validation. It does not test two compromised agents acting together.</t>
        </is>
      </c>
      <c r="K765" s="6" t="inlineStr">
        <is>
          <t>https://nachi065.github.io/AI-Security-Wiki/23_Framework_Crosswalks/21_PCI_DSS_AI_Crosswalk.html</t>
        </is>
      </c>
    </row>
    <row r="766">
      <c r="A766" s="157" t="inlineStr">
        <is>
          <t>Security baselines</t>
        </is>
      </c>
      <c r="B766" s="157" t="inlineStr">
        <is>
          <t>PCI SSC AI guidance themes</t>
        </is>
      </c>
      <c r="C766" s="157" t="inlineStr">
        <is>
          <t>Securing the use of AI</t>
        </is>
      </c>
      <c r="D766" s="157" t="inlineStr">
        <is>
          <t>Reliability and failure handling</t>
        </is>
      </c>
      <c r="E766" s="157" t="inlineStr">
        <is>
          <t>Treat output as untrusted; design review against automation bias; bound autonomy by independent validation and reversibility, for example a tested rollback plan.</t>
        </is>
      </c>
      <c r="F766" s="157" t="inlineStr">
        <is>
          <t>AI-CTRL-020, AI-CTRL-039, AI-CTRL-045</t>
        </is>
      </c>
      <c r="G766" s="157" t="inlineStr">
        <is>
          <t>AI-R05, AI-R06, AI-R07, AI-R12, AI-R14, AI-R18, AI-R19, AI-R20, AI-R24, AI-R26, AI-R28</t>
        </is>
      </c>
      <c r="H766" s="157" t="inlineStr">
        <is>
          <t>Derived via mapped controls</t>
        </is>
      </c>
      <c r="I766" s="157" t="inlineStr">
        <is>
          <t>Direct</t>
        </is>
      </c>
      <c r="J766" s="157" t="inlineStr">
        <is>
          <t>Test cases: TC-L03-040, TC-L14-023, TC-L06-023</t>
        </is>
      </c>
      <c r="K766" s="157" t="inlineStr">
        <is>
          <t>https://nachi065.github.io/AI-Security-Wiki/23_Framework_Crosswalks/21_PCI_DSS_AI_Crosswalk.html</t>
        </is>
      </c>
    </row>
    <row r="767">
      <c r="A767" s="6" t="inlineStr">
        <is>
          <t>Security baselines</t>
        </is>
      </c>
      <c r="B767" s="6" t="inlineStr">
        <is>
          <t>PCI SSC AI guidance themes</t>
        </is>
      </c>
      <c r="C767" s="6" t="inlineStr">
        <is>
          <t>Securing the use of AI</t>
        </is>
      </c>
      <c r="D767" s="6" t="inlineStr">
        <is>
          <t>Independent egress monitoring</t>
        </is>
      </c>
      <c r="E767" s="6" t="inlineStr">
        <is>
          <t>DLP on AI egress that is validated and independent of the AI system; flag high-entropy, unusual structures and images.</t>
        </is>
      </c>
      <c r="F767" s="6" t="inlineStr">
        <is>
          <t>AI-CTRL-017, AI-CTRL-020</t>
        </is>
      </c>
      <c r="G767" s="6" t="inlineStr">
        <is>
          <t>AI-R01, AI-R03, AI-R05, AI-R06, AI-R17, AI-R24, AI-R26</t>
        </is>
      </c>
      <c r="H767" s="6" t="inlineStr">
        <is>
          <t>Derived via mapped controls</t>
        </is>
      </c>
      <c r="I767" s="6" t="inlineStr">
        <is>
          <t>Direct</t>
        </is>
      </c>
      <c r="J767" s="6" t="inlineStr">
        <is>
          <t>Test cases: TC-L08-044, TC-L08-011</t>
        </is>
      </c>
      <c r="K767" s="6" t="inlineStr">
        <is>
          <t>https://nachi065.github.io/AI-Security-Wiki/23_Framework_Crosswalks/21_PCI_DSS_AI_Crosswalk.html</t>
        </is>
      </c>
    </row>
    <row r="768">
      <c r="A768" s="157" t="inlineStr">
        <is>
          <t>Security baselines</t>
        </is>
      </c>
      <c r="B768" s="157" t="inlineStr">
        <is>
          <t>PCI SSC AI guidance themes</t>
        </is>
      </c>
      <c r="C768" s="157" t="inlineStr">
        <is>
          <t>Securing the use of AI</t>
        </is>
      </c>
      <c r="D768" s="157" t="inlineStr">
        <is>
          <t>High-impact secrets and random values</t>
        </is>
      </c>
      <c r="E768" s="157" t="inlineStr">
        <is>
          <t>Never let AI handle, generate or manage keys, key components or passwords; use a known-good random generator; for cryptography, only the keys and functions the agent needs, logged.</t>
        </is>
      </c>
      <c r="F768" s="157" t="inlineStr">
        <is>
          <t>AI-CTRL-016, AI-CTRL-017</t>
        </is>
      </c>
      <c r="G768" s="157" t="inlineStr">
        <is>
          <t>AI-R01, AI-R03, AI-R06, AI-R07, AI-R08, AI-R17, AI-R22</t>
        </is>
      </c>
      <c r="H768" s="157" t="inlineStr">
        <is>
          <t>Derived via mapped controls</t>
        </is>
      </c>
      <c r="I768" s="157" t="inlineStr">
        <is>
          <t>Direct</t>
        </is>
      </c>
      <c r="J768" s="157" t="inlineStr">
        <is>
          <t>Test cases: TC-L10-034, TC-L09-016</t>
        </is>
      </c>
      <c r="K768" s="157" t="inlineStr">
        <is>
          <t>https://nachi065.github.io/AI-Security-Wiki/23_Framework_Crosswalks/21_PCI_DSS_AI_Crosswalk.html</t>
        </is>
      </c>
    </row>
    <row r="769">
      <c r="A769" s="6" t="inlineStr">
        <is>
          <t>Security baselines</t>
        </is>
      </c>
      <c r="B769" s="6" t="inlineStr">
        <is>
          <t>PCI SSC AI guidance themes</t>
        </is>
      </c>
      <c r="C769" s="6" t="inlineStr">
        <is>
          <t>Securing the use of AI</t>
        </is>
      </c>
      <c r="D769" s="6" t="inlineStr">
        <is>
          <t>Credentials in context</t>
        </is>
      </c>
      <c r="E769" s="6" t="inlineStr">
        <is>
          <t>Keep AI credentials in secrets management, never in source code, prompt templates or anything that can reach the context window, output or logs; rotate any that are exposed.</t>
        </is>
      </c>
      <c r="F769" s="6" t="inlineStr">
        <is>
          <t>AI-CTRL-016</t>
        </is>
      </c>
      <c r="G769" s="6" t="inlineStr">
        <is>
          <t>AI-R06, AI-R07, AI-R08, AI-R22</t>
        </is>
      </c>
      <c r="H769" s="6" t="inlineStr">
        <is>
          <t>Derived via mapped controls</t>
        </is>
      </c>
      <c r="I769" s="6" t="inlineStr">
        <is>
          <t>Direct</t>
        </is>
      </c>
      <c r="J769" s="6" t="inlineStr">
        <is>
          <t>Test cases: TC-L07-039, TC-L09-014, TC-L14-006</t>
        </is>
      </c>
      <c r="K769" s="6" t="inlineStr">
        <is>
          <t>https://nachi065.github.io/AI-Security-Wiki/23_Framework_Crosswalks/21_PCI_DSS_AI_Crosswalk.html</t>
        </is>
      </c>
    </row>
    <row r="770">
      <c r="A770" s="157" t="inlineStr">
        <is>
          <t>Security baselines</t>
        </is>
      </c>
      <c r="B770" s="157" t="inlineStr">
        <is>
          <t>PCI SSC AI guidance themes</t>
        </is>
      </c>
      <c r="C770" s="157" t="inlineStr">
        <is>
          <t>Securing the use of AI</t>
        </is>
      </c>
      <c r="D770" s="157" t="inlineStr">
        <is>
          <t>Account data given to AI</t>
        </is>
      </c>
      <c r="E770" s="157" t="inlineStr">
        <is>
          <t>Prefer tokens or encryption; where cleartext is needed, use an internal AI system with input and egress controls, segmentation and protected storage and context.</t>
        </is>
      </c>
      <c r="F770" s="157" t="inlineStr">
        <is>
          <t>AI-CTRL-017, AI-CTRL-027</t>
        </is>
      </c>
      <c r="G770" s="157" t="inlineStr">
        <is>
          <t>AI-R01, AI-R03, AI-R06, AI-R07, AI-R17, AI-R21, AI-R22, AI-R25, AI-R55</t>
        </is>
      </c>
      <c r="H770" s="157" t="inlineStr">
        <is>
          <t>Derived via mapped controls</t>
        </is>
      </c>
      <c r="I770" s="157" t="inlineStr">
        <is>
          <t>Direct</t>
        </is>
      </c>
      <c r="J770" s="157" t="inlineStr">
        <is>
          <t>Test cases: TC-L08-005, TC-L10-035</t>
        </is>
      </c>
      <c r="K770" s="157" t="inlineStr">
        <is>
          <t>https://nachi065.github.io/AI-Security-Wiki/23_Framework_Crosswalks/21_PCI_DSS_AI_Crosswalk.html</t>
        </is>
      </c>
    </row>
    <row r="771">
      <c r="A771" s="6" t="inlineStr">
        <is>
          <t>Security baselines</t>
        </is>
      </c>
      <c r="B771" s="6" t="inlineStr">
        <is>
          <t>PCI SSC AI guidance themes</t>
        </is>
      </c>
      <c r="C771" s="6" t="inlineStr">
        <is>
          <t>Securing the use of AI</t>
        </is>
      </c>
      <c r="D771" s="6" t="inlineStr">
        <is>
          <t>Categorising AI system risk</t>
        </is>
      </c>
      <c r="E771" s="6" t="inlineStr">
        <is>
          <t>Use the lethal trifecta as a quick check, then categorise by autonomy, expected actions, system access and data access, judged by what is possible rather than intended.</t>
        </is>
      </c>
      <c r="F771" s="6" t="inlineStr">
        <is>
          <t>AI-CTRL-011, AI-CTRL-037</t>
        </is>
      </c>
      <c r="G771" s="6" t="inlineStr">
        <is>
          <t>AI-R02, AI-R18, AI-R28, AI-R55</t>
        </is>
      </c>
      <c r="H771" s="6" t="inlineStr">
        <is>
          <t>Derived via mapped controls</t>
        </is>
      </c>
      <c r="I771" s="6" t="inlineStr">
        <is>
          <t>Direct</t>
        </is>
      </c>
      <c r="J771" s="6" t="inlineStr">
        <is>
          <t>Test cases: TC-L01-005, TC-D09-004, TC-L10-035; Notes: The supplement gives the CUSTODY framework as one example of a categorisation scheme; this wiki has not reviewed it. The wiki's own check is question A6 of the AI Use-Case Risk Triage.</t>
        </is>
      </c>
      <c r="K771" s="6" t="inlineStr">
        <is>
          <t>https://nachi065.github.io/AI-Security-Wiki/23_Framework_Crosswalks/21_PCI_DSS_AI_Crosswalk.html</t>
        </is>
      </c>
    </row>
    <row r="772">
      <c r="A772" s="157" t="inlineStr">
        <is>
          <t>Security baselines</t>
        </is>
      </c>
      <c r="B772" s="157" t="inlineStr">
        <is>
          <t>PCI SSC AI guidance themes</t>
        </is>
      </c>
      <c r="C772" s="157" t="inlineStr">
        <is>
          <t>Securing the use of AI</t>
        </is>
      </c>
      <c r="D772" s="157" t="inlineStr">
        <is>
          <t>AI system owner</t>
        </is>
      </c>
      <c r="E772" s="157" t="inlineStr">
        <is>
          <t>A named person or role approves deployment, defines the tasks and the data types the system may access.</t>
        </is>
      </c>
      <c r="F772" s="157" t="inlineStr">
        <is>
          <t>AI-CTRL-011, AI-CTRL-012</t>
        </is>
      </c>
      <c r="G772" s="157" t="inlineStr">
        <is>
          <t>AI-R02, AI-R03, AI-R18, AI-R19, AI-R27, AI-R28</t>
        </is>
      </c>
      <c r="H772" s="157" t="inlineStr">
        <is>
          <t>Derived via mapped controls</t>
        </is>
      </c>
      <c r="I772" s="157" t="inlineStr">
        <is>
          <t>Direct</t>
        </is>
      </c>
      <c r="J772" s="157" t="inlineStr">
        <is>
          <t>Test cases: TC-L01-002, TC-L06-047</t>
        </is>
      </c>
      <c r="K772" s="157" t="inlineStr">
        <is>
          <t>https://nachi065.github.io/AI-Security-Wiki/23_Framework_Crosswalks/21_PCI_DSS_AI_Crosswalk.html</t>
        </is>
      </c>
    </row>
    <row r="773">
      <c r="A773" s="6" t="inlineStr">
        <is>
          <t>Security baselines</t>
        </is>
      </c>
      <c r="B773" s="6" t="inlineStr">
        <is>
          <t>PCI SSC AI guidance themes</t>
        </is>
      </c>
      <c r="C773" s="6" t="inlineStr">
        <is>
          <t>Securing the use of AI</t>
        </is>
      </c>
      <c r="D773" s="6" t="inlineStr">
        <is>
          <t>AI in "individual" and "user" roles</t>
        </is>
      </c>
      <c r="E773" s="6" t="inlineStr">
        <is>
          <t>An AI agent may count as an individual except where responsibility or sign-off is required, high-impact secrets are involved, or actions cannot be uniquely attributed to it and to an accountable person; do a risk analysis before giving AI a user role.</t>
        </is>
      </c>
      <c r="F773" s="6" t="inlineStr">
        <is>
          <t>AI-CTRL-015, AI-CTRL-045</t>
        </is>
      </c>
      <c r="G773" s="6" t="inlineStr">
        <is>
          <t>AI-R07, AI-R12, AI-R14, AI-R18, AI-R19, AI-R22, AI-R25, AI-R28</t>
        </is>
      </c>
      <c r="H773" s="6" t="inlineStr">
        <is>
          <t>Derived via mapped controls</t>
        </is>
      </c>
      <c r="I773" s="6" t="inlineStr">
        <is>
          <t>Partial</t>
        </is>
      </c>
      <c r="J773" s="6" t="inlineStr">
        <is>
          <t>Test cases: TC-L09-002, TC-D09-003; Notes: The wiki has no case that checks that an AI system is barred from sign-off or approval functions.</t>
        </is>
      </c>
      <c r="K773" s="6" t="inlineStr">
        <is>
          <t>https://nachi065.github.io/AI-Security-Wiki/23_Framework_Crosswalks/21_PCI_DSS_AI_Crosswalk.html</t>
        </is>
      </c>
    </row>
    <row r="774">
      <c r="A774" s="157" t="inlineStr">
        <is>
          <t>Security baselines</t>
        </is>
      </c>
      <c r="B774" s="157" t="inlineStr">
        <is>
          <t>PCI SSC AI guidance themes</t>
        </is>
      </c>
      <c r="C774" s="157" t="inlineStr">
        <is>
          <t>Securing the use of AI</t>
        </is>
      </c>
      <c r="D774" s="157" t="inlineStr">
        <is>
          <t>AI-powered robotic systems</t>
        </is>
      </c>
      <c r="E774" s="157" t="inlineStr">
        <is>
          <t>Keep robots' vision systems from seeing or recording sensitive data in secure facilities.</t>
        </is>
      </c>
      <c r="F774" s="157" t="inlineStr">
        <is>
          <t>AI-CTRL-021</t>
        </is>
      </c>
      <c r="G774" s="157" t="inlineStr">
        <is>
          <t>AI-R03, AI-R05</t>
        </is>
      </c>
      <c r="H774" s="157" t="inlineStr">
        <is>
          <t>Derived via mapped controls</t>
        </is>
      </c>
      <c r="I774" s="157" t="inlineStr">
        <is>
          <t>Gap</t>
        </is>
      </c>
      <c r="J774" s="157" t="inlineStr">
        <is>
          <t>Test cases: None; Notes: The wiki does not cover physical or robotic AI.</t>
        </is>
      </c>
      <c r="K774" s="157" t="inlineStr">
        <is>
          <t>https://nachi065.github.io/AI-Security-Wiki/23_Framework_Crosswalks/21_PCI_DSS_AI_Crosswalk.html</t>
        </is>
      </c>
    </row>
    <row r="775">
      <c r="A775" s="6" t="inlineStr">
        <is>
          <t>Security baselines</t>
        </is>
      </c>
      <c r="B775" s="6" t="inlineStr">
        <is>
          <t>PCI SSC AI guidance themes</t>
        </is>
      </c>
      <c r="C775" s="6" t="inlineStr">
        <is>
          <t>Securing the use of AI</t>
        </is>
      </c>
      <c r="D775" s="6" t="inlineStr">
        <is>
          <t>AI software development</t>
        </is>
      </c>
      <c r="E775" s="6" t="inlineStr">
        <is>
          <t>Use known-good repositories, check package provenance, and check that AI-written code has no embedded account data, keys or secrets.</t>
        </is>
      </c>
      <c r="F775" s="6" t="inlineStr">
        <is>
          <t>AI-CTRL-004, AI-CTRL-031</t>
        </is>
      </c>
      <c r="G775" s="6" t="inlineStr">
        <is>
          <t>AI-R04, AI-R08, AI-R16, AI-R22, AI-R23</t>
        </is>
      </c>
      <c r="H775" s="6" t="inlineStr">
        <is>
          <t>Derived via mapped controls</t>
        </is>
      </c>
      <c r="I775" s="6" t="inlineStr">
        <is>
          <t>Direct</t>
        </is>
      </c>
      <c r="J775" s="6" t="inlineStr">
        <is>
          <t>Test cases: TC-L05-019, TC-L16-004, TC-L08-007</t>
        </is>
      </c>
      <c r="K775" s="6" t="inlineStr">
        <is>
          <t>https://nachi065.github.io/AI-Security-Wiki/23_Framework_Crosswalks/21_PCI_DSS_AI_Crosswalk.html</t>
        </is>
      </c>
    </row>
    <row r="776">
      <c r="A776" s="157" t="inlineStr">
        <is>
          <t>Security baselines</t>
        </is>
      </c>
      <c r="B776" s="157" t="inlineStr">
        <is>
          <t>PCI SSC AI guidance themes</t>
        </is>
      </c>
      <c r="C776" s="157" t="inlineStr">
        <is>
          <t>Securing the use of AI</t>
        </is>
      </c>
      <c r="D776" s="157" t="inlineStr">
        <is>
          <t>Large datasets and aggregation</t>
        </is>
      </c>
      <c r="E776" s="157" t="inlineStr">
        <is>
          <t>AI used on large datasets such as logs can expose sensitive data or aggregate it in exploitable ways, and brings that data into scope.</t>
        </is>
      </c>
      <c r="F776" s="157" t="inlineStr">
        <is>
          <t>AI-CTRL-017, AI-CTRL-018</t>
        </is>
      </c>
      <c r="G776" s="157" t="inlineStr">
        <is>
          <t>AI-R01, AI-R03, AI-R06, AI-R17</t>
        </is>
      </c>
      <c r="H776" s="157" t="inlineStr">
        <is>
          <t>Derived via mapped controls</t>
        </is>
      </c>
      <c r="I776" s="157" t="inlineStr">
        <is>
          <t>Partial</t>
        </is>
      </c>
      <c r="J776" s="157" t="inlineStr">
        <is>
          <t>Test cases: TC-L10-035, TC-L11-007; Notes: The wiki tests access and leakage, not aggregation inference across a large log set.</t>
        </is>
      </c>
      <c r="K776" s="157" t="inlineStr">
        <is>
          <t>https://nachi065.github.io/AI-Security-Wiki/23_Framework_Crosswalks/21_PCI_DSS_AI_Crosswalk.html</t>
        </is>
      </c>
    </row>
    <row r="777">
      <c r="A777" s="6" t="inlineStr">
        <is>
          <t>Security baselines</t>
        </is>
      </c>
      <c r="B777" s="6" t="inlineStr">
        <is>
          <t>PCI SSC AI guidance themes</t>
        </is>
      </c>
      <c r="C777" s="6" t="inlineStr">
        <is>
          <t>Securing the use of AI</t>
        </is>
      </c>
      <c r="D777" s="6" t="inlineStr">
        <is>
          <t>Cleartext card data (Example 4)</t>
        </is>
      </c>
      <c r="E777" s="6" t="inlineStr">
        <is>
          <t>Keep per-action human approval; least privilege; device-bound, time-bound, phishing-resistant credentials; no external access or untrusted input; independent DLP; fail-secure shutdown on unusual activity.</t>
        </is>
      </c>
      <c r="F777" s="6" t="inlineStr">
        <is>
          <t>AI-CTRL-017, AI-CTRL-023, AI-CTRL-025</t>
        </is>
      </c>
      <c r="G777" s="6" t="inlineStr">
        <is>
          <t>AI-R01, AI-R03, AI-R06, AI-R07, AI-R11, AI-R17, AI-R19, AI-R21, AI-R25, AI-R55</t>
        </is>
      </c>
      <c r="H777" s="6" t="inlineStr">
        <is>
          <t>Derived via mapped controls</t>
        </is>
      </c>
      <c r="I777" s="6" t="inlineStr">
        <is>
          <t>Direct</t>
        </is>
      </c>
      <c r="J777" s="6" t="inlineStr">
        <is>
          <t>Test cases: TC-L06-015, TC-L08-044, TC-L09-027</t>
        </is>
      </c>
      <c r="K777" s="6" t="inlineStr">
        <is>
          <t>https://nachi065.github.io/AI-Security-Wiki/23_Framework_Crosswalks/21_PCI_DSS_AI_Crosswalk.html</t>
        </is>
      </c>
    </row>
    <row r="778">
      <c r="A778" s="157" t="inlineStr">
        <is>
          <t>Security baselines</t>
        </is>
      </c>
      <c r="B778" s="157" t="inlineStr">
        <is>
          <t>PCI SSC AI guidance themes</t>
        </is>
      </c>
      <c r="C778" s="157" t="inlineStr">
        <is>
          <t>Defending against the malicious use of AI</t>
        </is>
      </c>
      <c r="D778" s="157" t="inlineStr">
        <is>
          <t>Continuous monitoring and rapid triage</t>
        </is>
      </c>
      <c r="E778" s="157" t="inlineStr">
        <is>
          <t>Continuous rather than only periodic scanning, and a fast way to triage and rank the higher volume of findings and patches.</t>
        </is>
      </c>
      <c r="F778" s="157" t="inlineStr">
        <is>
          <t>AI-CTRL-033, AI-CTRL-037</t>
        </is>
      </c>
      <c r="G778" s="157" t="inlineStr">
        <is>
          <t>AI-R55</t>
        </is>
      </c>
      <c r="H778" s="157" t="inlineStr">
        <is>
          <t>Wiki maps risks directly</t>
        </is>
      </c>
      <c r="I778" s="157" t="inlineStr">
        <is>
          <t>Partial</t>
        </is>
      </c>
      <c r="J778" s="157" t="inlineStr">
        <is>
          <t>Test cases: TC-L14-023; Notes: Register risk AI-R55 covers the patch gap. Scanning programmes for systems that are not AI stay outside the wiki; AI agents used for patching are covered by the test case.</t>
        </is>
      </c>
      <c r="K778" s="157" t="inlineStr">
        <is>
          <t>https://nachi065.github.io/AI-Security-Wiki/23_Framework_Crosswalks/21_PCI_DSS_AI_Crosswalk.html</t>
        </is>
      </c>
    </row>
    <row r="779">
      <c r="A779" s="6" t="inlineStr">
        <is>
          <t>Security baselines</t>
        </is>
      </c>
      <c r="B779" s="6" t="inlineStr">
        <is>
          <t>PCI SSC AI guidance themes</t>
        </is>
      </c>
      <c r="C779" s="6" t="inlineStr">
        <is>
          <t>Defending against the malicious use of AI</t>
        </is>
      </c>
      <c r="D779" s="6" t="inlineStr">
        <is>
          <t>AI-enabled social engineering and biometri...</t>
        </is>
      </c>
      <c r="E779" s="6" t="inlineStr">
        <is>
          <t>Defend against phishing, vishing and deepfakes, and attacks on remote video and voice biometrics.</t>
        </is>
      </c>
      <c r="F779" s="6" t="inlineStr">
        <is>
          <t>AI-CTRL-021, AI-CTRL-044</t>
        </is>
      </c>
      <c r="G779" s="6" t="inlineStr">
        <is>
          <t>AI-R02, AI-R03, AI-R05, AI-R19</t>
        </is>
      </c>
      <c r="H779" s="6" t="inlineStr">
        <is>
          <t>Derived via mapped controls</t>
        </is>
      </c>
      <c r="I779" s="6" t="inlineStr">
        <is>
          <t>Partial</t>
        </is>
      </c>
      <c r="J779" s="6" t="inlineStr">
        <is>
          <t>Test cases: TC-D11-017; Notes: The wiki tests voice authentication against synthetic voices; it does not cover phishing defence in general.</t>
        </is>
      </c>
      <c r="K779" s="6" t="inlineStr">
        <is>
          <t>https://nachi065.github.io/AI-Security-Wiki/23_Framework_Crosswalks/21_PCI_DSS_AI_Crosswalk.html</t>
        </is>
      </c>
    </row>
    <row r="780">
      <c r="A780" s="157" t="inlineStr">
        <is>
          <t>Security baselines</t>
        </is>
      </c>
      <c r="B780" s="157" t="inlineStr">
        <is>
          <t>PCI SSC AI guidance themes</t>
        </is>
      </c>
      <c r="C780" s="157" t="inlineStr">
        <is>
          <t>Defending against the malicious use of AI</t>
        </is>
      </c>
      <c r="D780" s="157" t="inlineStr">
        <is>
          <t>Computationally infeasible controls</t>
        </is>
      </c>
      <c r="E780" s="157" t="inlineStr">
        <is>
          <t>Prefer controls that are provably strong, such as cryptography and defined segmentation, over controls that only make attacks tedious.</t>
        </is>
      </c>
      <c r="F780" s="157" t="inlineStr">
        <is>
          <t>AI-CTRL-022, AI-CTRL-027</t>
        </is>
      </c>
      <c r="G780" s="157" t="inlineStr">
        <is>
          <t>AI-R07, AI-R21, AI-R22, AI-R24, AI-R25, AI-R55</t>
        </is>
      </c>
      <c r="H780" s="157" t="inlineStr">
        <is>
          <t>Derived via mapped controls</t>
        </is>
      </c>
      <c r="I780" s="157" t="inlineStr">
        <is>
          <t>Partial</t>
        </is>
      </c>
      <c r="J780" s="157" t="inlineStr">
        <is>
          <t>Test cases: TC-L09-004, TC-L06-025; Notes: Deterministic authorisation and isolation follow this idea; the wiki does not state it as a design rule.</t>
        </is>
      </c>
      <c r="K780" s="157" t="inlineStr">
        <is>
          <t>https://nachi065.github.io/AI-Security-Wiki/23_Framework_Crosswalks/21_PCI_DSS_AI_Crosswalk.html</t>
        </is>
      </c>
    </row>
    <row r="781">
      <c r="A781" s="6" t="inlineStr">
        <is>
          <t>Security baselines</t>
        </is>
      </c>
      <c r="B781" s="6" t="inlineStr">
        <is>
          <t>PCI SSC AI guidance themes</t>
        </is>
      </c>
      <c r="C781" s="6" t="inlineStr">
        <is>
          <t>Defending against the malicious use of AI</t>
        </is>
      </c>
      <c r="D781" s="6" t="inlineStr">
        <is>
          <t>Minimise blast radius</t>
        </is>
      </c>
      <c r="E781" s="6" t="inlineStr">
        <is>
          <t>Build on the assumption of a breach and limit what one compromise can reach.</t>
        </is>
      </c>
      <c r="F781" s="6" t="inlineStr">
        <is>
          <t>AI-CTRL-025, AI-CTRL-027</t>
        </is>
      </c>
      <c r="G781" s="6" t="inlineStr">
        <is>
          <t>AI-R07, AI-R11, AI-R21, AI-R22, AI-R25, AI-R55</t>
        </is>
      </c>
      <c r="H781" s="6" t="inlineStr">
        <is>
          <t>Derived via mapped controls</t>
        </is>
      </c>
      <c r="I781" s="6" t="inlineStr">
        <is>
          <t>Direct</t>
        </is>
      </c>
      <c r="J781" s="6" t="inlineStr">
        <is>
          <t>Test cases: TC-D12-009, TC-L06-023</t>
        </is>
      </c>
      <c r="K781" s="6" t="inlineStr">
        <is>
          <t>https://nachi065.github.io/AI-Security-Wiki/23_Framework_Crosswalks/21_PCI_DSS_AI_Crosswalk.html</t>
        </is>
      </c>
    </row>
  </sheetData>
  <autoFilter ref="A4:K781"/>
  <pageMargins left="0.75" right="0.75" top="1" bottom="1" header="0.5" footer="0.5"/>
</worksheet>
</file>

<file path=xl/worksheets/sheet13.xml><?xml version="1.0" encoding="utf-8"?>
<worksheet xmlns="http://schemas.openxmlformats.org/spreadsheetml/2006/main">
  <sheetPr>
    <tabColor rgb="00806000"/>
    <outlinePr summaryBelow="1" summaryRight="1"/>
    <pageSetUpPr/>
  </sheetPr>
  <dimension ref="A1:K200"/>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12" customWidth="1" min="2" max="2"/>
    <col width="44" customWidth="1" min="3" max="3"/>
    <col width="18" customWidth="1" min="4" max="4"/>
    <col width="22" customWidth="1" min="5" max="5"/>
    <col width="34" customWidth="1" min="6" max="6"/>
    <col width="34" customWidth="1" min="7" max="7"/>
    <col width="18" customWidth="1" min="8" max="8"/>
    <col width="40" customWidth="1" min="9" max="9"/>
    <col width="40" customWidth="1" min="10" max="10"/>
    <col width="30" customWidth="1" min="11" max="11"/>
  </cols>
  <sheetData>
    <row r="1" ht="30" customHeight="1">
      <c r="A1" s="158" t="inlineStr">
        <is>
          <t>Regulatory crosswalk: AI laws and guidance by jurisdiction</t>
        </is>
      </c>
      <c r="B1" s="159" t="n"/>
      <c r="C1" s="159" t="n"/>
      <c r="D1" s="159" t="n"/>
      <c r="E1" s="159" t="n"/>
      <c r="F1" s="159" t="n"/>
      <c r="G1" s="159" t="n"/>
      <c r="H1" s="159" t="n"/>
      <c r="I1" s="159" t="n"/>
      <c r="J1" s="159" t="n"/>
      <c r="K1" s="159" t="n"/>
    </row>
    <row r="2">
      <c r="A2" s="3" t="inlineStr">
        <is>
          <t>Source: the wiki's 13 regional Regulatory Crosswalk pages. Keep the wiki's verification tags: an item marked "to verify" has not been checked against the primary text. Not legal advice.</t>
        </is>
      </c>
    </row>
    <row r="3"/>
    <row r="4">
      <c r="A4" s="160" t="inlineStr">
        <is>
          <t>Jurisdiction</t>
        </is>
      </c>
      <c r="B4" s="160" t="inlineStr">
        <is>
          <t>ID</t>
        </is>
      </c>
      <c r="C4" s="160" t="inlineStr">
        <is>
          <t>Instrument / expectation</t>
        </is>
      </c>
      <c r="D4" s="160" t="inlineStr">
        <is>
          <t>Legal force</t>
        </is>
      </c>
      <c r="E4" s="160" t="inlineStr">
        <is>
          <t>Type / status</t>
        </is>
      </c>
      <c r="F4" s="160" t="inlineStr">
        <is>
          <t>Wiki controls</t>
        </is>
      </c>
      <c r="G4" s="160" t="inlineStr">
        <is>
          <t>Register risks (via controls)</t>
        </is>
      </c>
      <c r="H4" s="160" t="inlineStr">
        <is>
          <t>Verification tag (wiki)</t>
        </is>
      </c>
      <c r="I4" s="160" t="inlineStr">
        <is>
          <t>To verify (wiki)</t>
        </is>
      </c>
      <c r="J4" s="160" t="inlineStr">
        <is>
          <t>Primary URL and retrieval date (wiki)</t>
        </is>
      </c>
      <c r="K4" s="160" t="inlineStr">
        <is>
          <t>Source page</t>
        </is>
      </c>
    </row>
    <row r="5">
      <c r="A5" s="6" t="inlineStr">
        <is>
          <t>GCC</t>
        </is>
      </c>
      <c r="B5" s="6" t="inlineStr">
        <is>
          <t>U1</t>
        </is>
      </c>
      <c r="C5" s="6" t="inlineStr">
        <is>
          <t>Federal Decree-Law 45/2021 (PDPL)</t>
        </is>
      </c>
      <c r="D5" s="6" t="inlineStr">
        <is>
          <t>Binding law</t>
        </is>
      </c>
      <c r="E5" s="6" t="inlineStr">
        <is>
          <t>Binding</t>
        </is>
      </c>
      <c r="F5" s="6" t="inlineStr">
        <is>
          <t>AI-CTRL-007, AI-CTRL-013, AI-CTRL-017, AI-CTRL-035</t>
        </is>
      </c>
      <c r="G5" s="6" t="inlineStr">
        <is>
          <t>AI-R01, AI-R03, AI-R06, AI-R09, AI-R10, AI-R17, AI-R20, AI-R27, AI-R28</t>
        </is>
      </c>
      <c r="H5" s="6" t="inlineStr">
        <is>
          <t>Verified</t>
        </is>
      </c>
      <c r="I5" s="6" t="inlineStr">
        <is>
          <t>Executive Regulation status; later amendments</t>
        </is>
      </c>
      <c r="J5" s="6" t="inlineStr">
        <is>
          <t>UAE legislation portal: Federal Decree-Law No. 45 of 2021, retrieved 19 Oct 2026</t>
        </is>
      </c>
      <c r="K5" s="6" t="inlineStr">
        <is>
          <t>https://nachi065.github.io/AI-Security-Wiki/11_GCC_AI_Compliance/07_Regulatory_Crosswalk.html</t>
        </is>
      </c>
    </row>
    <row r="6">
      <c r="A6" s="102" t="inlineStr">
        <is>
          <t>GCC</t>
        </is>
      </c>
      <c r="B6" s="102" t="inlineStr">
        <is>
          <t>U2</t>
        </is>
      </c>
      <c r="C6" s="102" t="inlineStr">
        <is>
          <t>Federal Decree-Law 34/2021 (cybercrime)</t>
        </is>
      </c>
      <c r="D6" s="102" t="inlineStr">
        <is>
          <t>Binding law</t>
        </is>
      </c>
      <c r="E6" s="102" t="inlineStr">
        <is>
          <t>Binding</t>
        </is>
      </c>
      <c r="F6" s="102" t="inlineStr">
        <is>
          <t>AI-CTRL-005, AI-CTRL-028, AI-CTRL-035</t>
        </is>
      </c>
      <c r="G6" s="102" t="inlineStr">
        <is>
          <t>AI-R05, AI-R06, AI-R08, AI-R09, AI-R20, AI-R24</t>
        </is>
      </c>
      <c r="H6" s="102" t="inlineStr">
        <is>
          <t>Verified</t>
        </is>
      </c>
      <c r="I6" s="102" t="inlineStr">
        <is>
          <t>AI relevance</t>
        </is>
      </c>
      <c r="J6" s="102" t="inlineStr">
        <is>
          <t>UAE legislation portal: Federal Decree-Law No. 34 of 2021, retrieved 19 Oct 2026 (title, number, 20 Sep 2021 issue date and 74 articles read; AI is not named; Art. 54 covers e-robots used to spread false data)</t>
        </is>
      </c>
      <c r="K6" s="102" t="inlineStr">
        <is>
          <t>https://nachi065.github.io/AI-Security-Wiki/11_GCC_AI_Compliance/07_Regulatory_Crosswalk.html</t>
        </is>
      </c>
    </row>
    <row r="7">
      <c r="A7" s="6" t="inlineStr">
        <is>
          <t>GCC</t>
        </is>
      </c>
      <c r="B7" s="6" t="inlineStr">
        <is>
          <t>U3</t>
        </is>
      </c>
      <c r="C7" s="6" t="inlineStr">
        <is>
          <t>UAE Charter for Development and Use of AI</t>
        </is>
      </c>
      <c r="D7" s="6" t="inlineStr">
        <is>
          <t>Guidance</t>
        </is>
      </c>
      <c r="E7" s="6" t="inlineStr">
        <is>
          <t>Non-binding</t>
        </is>
      </c>
      <c r="F7" s="6" t="inlineStr">
        <is>
          <t>AI-CTRL-012, AI-CTRL-023, AI-CTRL-039</t>
        </is>
      </c>
      <c r="G7" s="6" t="inlineStr">
        <is>
          <t>AI-R02, AI-R03, AI-R07, AI-R12, AI-R14, AI-R18, AI-R19, AI-R20, AI-R27, AI-R28</t>
        </is>
      </c>
      <c r="H7" s="6" t="inlineStr">
        <is>
          <t>Conflict</t>
        </is>
      </c>
      <c r="I7" s="6" t="inlineStr">
        <is>
          <t>Publication month</t>
        </is>
      </c>
      <c r="J7" s="6" t="inlineStr">
        <is>
          <t>UAE legislation portal entry; Charter document, retrieved 19 Oct 2026 (both primary; the portal gives an issue date of 10 Jun 2024, the document cover says July 2024, so the month is still in conflict)</t>
        </is>
      </c>
      <c r="K7" s="6" t="inlineStr">
        <is>
          <t>https://nachi065.github.io/AI-Security-Wiki/11_GCC_AI_Compliance/07_Regulatory_Crosswalk.html</t>
        </is>
      </c>
    </row>
    <row r="8">
      <c r="A8" s="102" t="inlineStr">
        <is>
          <t>GCC</t>
        </is>
      </c>
      <c r="B8" s="102" t="inlineStr">
        <is>
          <t>U4</t>
        </is>
      </c>
      <c r="C8" s="102" t="inlineStr">
        <is>
          <t>UAE AI Ethics Principles and Self-Assessment</t>
        </is>
      </c>
      <c r="D8" s="102" t="inlineStr">
        <is>
          <t>Voluntary</t>
        </is>
      </c>
      <c r="E8" s="102" t="inlineStr">
        <is>
          <t>Voluntary</t>
        </is>
      </c>
      <c r="F8" s="102" t="inlineStr">
        <is>
          <t>AI-CTRL-012, AI-CTRL-039, AI-CTRL-041</t>
        </is>
      </c>
      <c r="G8" s="102" t="inlineStr">
        <is>
          <t>AI-R02, AI-R03, AI-R12, AI-R14, AI-R15, AI-R18, AI-R19, AI-R20, AI-R27, AI-R28</t>
        </is>
      </c>
      <c r="H8" s="102" t="inlineStr">
        <is>
          <t>Reported</t>
        </is>
      </c>
      <c r="I8" s="102" t="inlineStr">
        <is>
          <t>Principle names</t>
        </is>
      </c>
      <c r="J8" s="102" t="inlineStr"/>
      <c r="K8" s="102" t="inlineStr">
        <is>
          <t>https://nachi065.github.io/AI-Security-Wiki/11_GCC_AI_Compliance/07_Regulatory_Crosswalk.html</t>
        </is>
      </c>
    </row>
    <row r="9">
      <c r="A9" s="6" t="inlineStr">
        <is>
          <t>GCC</t>
        </is>
      </c>
      <c r="B9" s="6" t="inlineStr">
        <is>
          <t>U5</t>
        </is>
      </c>
      <c r="C9" s="6" t="inlineStr">
        <is>
          <t>Federal Authority for AI and Data</t>
        </is>
      </c>
      <c r="D9" s="6" t="inlineStr">
        <is>
          <t>Context</t>
        </is>
      </c>
      <c r="E9" s="6" t="inlineStr">
        <is>
          <t>Regulator (announced 14 Jun 2026)</t>
        </is>
      </c>
      <c r="F9" s="6" t="inlineStr">
        <is>
          <t>AI-CTRL-013, AI-CTRL-038</t>
        </is>
      </c>
      <c r="G9" s="6" t="inlineStr">
        <is>
          <t>AI-R03, AI-R09, AI-R10, AI-R15, AI-R27, AI-R28</t>
        </is>
      </c>
      <c r="H9" s="6" t="inlineStr">
        <is>
          <t>Reported</t>
        </is>
      </c>
      <c r="I9" s="6" t="inlineStr">
        <is>
          <t>Official mandate</t>
        </is>
      </c>
      <c r="J9" s="6" t="inlineStr"/>
      <c r="K9" s="6" t="inlineStr">
        <is>
          <t>https://nachi065.github.io/AI-Security-Wiki/11_GCC_AI_Compliance/07_Regulatory_Crosswalk.html</t>
        </is>
      </c>
    </row>
    <row r="10">
      <c r="A10" s="102" t="inlineStr">
        <is>
          <t>GCC</t>
        </is>
      </c>
      <c r="B10" s="102" t="inlineStr">
        <is>
          <t>U6</t>
        </is>
      </c>
      <c r="C10" s="102" t="inlineStr">
        <is>
          <t>DIFC DP Law and Regulation 10</t>
        </is>
      </c>
      <c r="D10" s="102" t="inlineStr">
        <is>
          <t>Binding in scope</t>
        </is>
      </c>
      <c r="E10" s="102" t="inlineStr">
        <is>
          <t>Binding in DIFC</t>
        </is>
      </c>
      <c r="F10" s="102" t="inlineStr">
        <is>
          <t>AI-CTRL-011, AI-CTRL-013, AI-CTRL-023, AI-CTRL-041</t>
        </is>
      </c>
      <c r="G10" s="102" t="inlineStr">
        <is>
          <t>AI-R02, AI-R03, AI-R07, AI-R10, AI-R12, AI-R14, AI-R15, AI-R18, AI-R19, AI-R27, AI-R28</t>
        </is>
      </c>
      <c r="H10" s="102" t="inlineStr">
        <is>
          <t>Conflict</t>
        </is>
      </c>
      <c r="I10" s="102" t="inlineStr">
        <is>
          <t>Enforcement date; ASO; certification</t>
        </is>
      </c>
      <c r="J10" s="102" t="inlineStr">
        <is>
          <t>DIFC Commissioner of Data Protection guidance page, retrieved 10 Oct 2026 (guidance listing only; it shows a Regulation 10 certification scheme)</t>
        </is>
      </c>
      <c r="K10" s="102" t="inlineStr">
        <is>
          <t>https://nachi065.github.io/AI-Security-Wiki/11_GCC_AI_Compliance/07_Regulatory_Crosswalk.html</t>
        </is>
      </c>
    </row>
    <row r="11">
      <c r="A11" s="6" t="inlineStr">
        <is>
          <t>GCC</t>
        </is>
      </c>
      <c r="B11" s="6" t="inlineStr">
        <is>
          <t>U7</t>
        </is>
      </c>
      <c r="C11" s="6" t="inlineStr">
        <is>
          <t>ADGM Data Protection Regulations</t>
        </is>
      </c>
      <c r="D11" s="6" t="inlineStr">
        <is>
          <t>Binding in scope</t>
        </is>
      </c>
      <c r="E11" s="6" t="inlineStr">
        <is>
          <t>Binding in ADGM</t>
        </is>
      </c>
      <c r="F11" s="6" t="inlineStr">
        <is>
          <t>AI-CTRL-007, AI-CTRL-013</t>
        </is>
      </c>
      <c r="G11" s="6" t="inlineStr">
        <is>
          <t>AI-R03, AI-R10, AI-R27, AI-R28</t>
        </is>
      </c>
      <c r="H11" s="6" t="inlineStr">
        <is>
          <t>Reported</t>
        </is>
      </c>
      <c r="I11" s="6" t="inlineStr">
        <is>
          <t>Regulations text; current consolidated version</t>
        </is>
      </c>
      <c r="J11" s="6" t="inlineStr">
        <is>
          <t>ADGM briefing on the Data Protection Regulations 2021, retrieved 19 Oct 2026 (ADGM briefing slides: Data Protection Regulations 2021 enacted 11 Feb 2021, replacing the 2015 Regulations; they apply to processing by a controller or processor established in ADGM, wherever the processing happens. The regulations text was not read)</t>
        </is>
      </c>
      <c r="K11" s="6" t="inlineStr">
        <is>
          <t>https://nachi065.github.io/AI-Security-Wiki/11_GCC_AI_Compliance/07_Regulatory_Crosswalk.html</t>
        </is>
      </c>
    </row>
    <row r="12">
      <c r="A12" s="102" t="inlineStr">
        <is>
          <t>GCC</t>
        </is>
      </c>
      <c r="B12" s="102" t="inlineStr">
        <is>
          <t>U8</t>
        </is>
      </c>
      <c r="C12" s="102" t="inlineStr">
        <is>
          <t>Dubai AI Security Policy (DESC)</t>
        </is>
      </c>
      <c r="D12" s="102" t="inlineStr">
        <is>
          <t>Unclear</t>
        </is>
      </c>
      <c r="E12" s="102" t="inlineStr">
        <is>
          <t>Policy Sept 2024</t>
        </is>
      </c>
      <c r="F12" s="102" t="inlineStr">
        <is>
          <t>None</t>
        </is>
      </c>
      <c r="G12" s="102" t="inlineStr">
        <is>
          <t>None</t>
        </is>
      </c>
      <c r="H12" s="102" t="inlineStr">
        <is>
          <t>Reported</t>
        </is>
      </c>
      <c r="I12" s="102" t="inlineStr">
        <is>
          <t>Obtain text</t>
        </is>
      </c>
      <c r="J12" s="102" t="inlineStr"/>
      <c r="K12" s="102" t="inlineStr">
        <is>
          <t>https://nachi065.github.io/AI-Security-Wiki/11_GCC_AI_Compliance/07_Regulatory_Crosswalk.html</t>
        </is>
      </c>
    </row>
    <row r="13">
      <c r="A13" s="6" t="inlineStr">
        <is>
          <t>GCC</t>
        </is>
      </c>
      <c r="B13" s="6" t="inlineStr">
        <is>
          <t>U9</t>
        </is>
      </c>
      <c r="C13" s="6" t="inlineStr">
        <is>
          <t>CBUAE Guidance Note on AI/ML</t>
        </is>
      </c>
      <c r="D13" s="6" t="inlineStr">
        <is>
          <t>Guidance</t>
        </is>
      </c>
      <c r="E13" s="6" t="inlineStr">
        <is>
          <t>Supervisory guidance 23 Feb 2026</t>
        </is>
      </c>
      <c r="F13" s="6" t="inlineStr">
        <is>
          <t>AI-CTRL-011, AI-CTRL-014, AI-CTRL-023, AI-CTRL-025, AI-CTRL-041</t>
        </is>
      </c>
      <c r="G13" s="6" t="inlineStr">
        <is>
          <t>AI-R02, AI-R07, AI-R08, AI-R10, AI-R11, AI-R12, AI-R14, AI-R15, AI-R16, AI-R18, AI-R19, AI-R21, AI-R25, AI-R55</t>
        </is>
      </c>
      <c r="H13" s="6" t="inlineStr">
        <is>
          <t>Reported</t>
        </is>
      </c>
      <c r="I13" s="6" t="inlineStr">
        <is>
          <t>Note text (Rulebook entry)</t>
        </is>
      </c>
      <c r="J13" s="6" t="inlineStr">
        <is>
          <t>CBUAE press release on the Guidance Note, retrieved 19 Oct 2026 (dated 23 Feb 2026; applies to licensed financial institutions; the note is hosted on the CBUAE Rulebook; note text not read)</t>
        </is>
      </c>
      <c r="K13" s="6" t="inlineStr">
        <is>
          <t>https://nachi065.github.io/AI-Security-Wiki/11_GCC_AI_Compliance/07_Regulatory_Crosswalk.html</t>
        </is>
      </c>
    </row>
    <row r="14">
      <c r="A14" s="102" t="inlineStr">
        <is>
          <t>GCC</t>
        </is>
      </c>
      <c r="B14" s="102" t="inlineStr">
        <is>
          <t>U10</t>
        </is>
      </c>
      <c r="C14" s="102" t="inlineStr">
        <is>
          <t>AIATC Law 3/2024</t>
        </is>
      </c>
      <c r="D14" s="102" t="inlineStr">
        <is>
          <t>Context</t>
        </is>
      </c>
      <c r="E14" s="102" t="inlineStr">
        <is>
          <t>Governance body</t>
        </is>
      </c>
      <c r="F14" s="102" t="inlineStr">
        <is>
          <t>None</t>
        </is>
      </c>
      <c r="G14" s="102" t="inlineStr">
        <is>
          <t>None</t>
        </is>
      </c>
      <c r="H14" s="102" t="inlineStr">
        <is>
          <t>Reported</t>
        </is>
      </c>
      <c r="I14" s="102" t="inlineStr">
        <is>
          <t>Scope</t>
        </is>
      </c>
      <c r="J14" s="102" t="inlineStr"/>
      <c r="K14" s="102" t="inlineStr">
        <is>
          <t>https://nachi065.github.io/AI-Security-Wiki/11_GCC_AI_Compliance/07_Regulatory_Crosswalk.html</t>
        </is>
      </c>
    </row>
    <row r="15">
      <c r="A15" s="6" t="inlineStr">
        <is>
          <t>GCC</t>
        </is>
      </c>
      <c r="B15" s="6" t="inlineStr">
        <is>
          <t>U11</t>
        </is>
      </c>
      <c r="C15" s="6" t="inlineStr">
        <is>
          <t>UAE information assurance (NESA/IA)</t>
        </is>
      </c>
      <c r="D15" s="6" t="inlineStr">
        <is>
          <t>Unclear</t>
        </is>
      </c>
      <c r="E15" s="6" t="inlineStr">
        <is>
          <t>Baseline</t>
        </is>
      </c>
      <c r="F15" s="6" t="inlineStr">
        <is>
          <t>AI-CTRL-005, AI-CTRL-008, AI-CTRL-009, AI-CTRL-032</t>
        </is>
      </c>
      <c r="G15" s="6" t="inlineStr">
        <is>
          <t>AI-R05, AI-R06, AI-R08, AI-R09, AI-R10, AI-R15, AI-R24, AI-R26</t>
        </is>
      </c>
      <c r="H15" s="6" t="inlineStr">
        <is>
          <t>Unverified</t>
        </is>
      </c>
      <c r="I15" s="6" t="inlineStr">
        <is>
          <t>Custodian and version</t>
        </is>
      </c>
      <c r="J15" s="6" t="inlineStr"/>
      <c r="K15" s="6" t="inlineStr">
        <is>
          <t>https://nachi065.github.io/AI-Security-Wiki/11_GCC_AI_Compliance/07_Regulatory_Crosswalk.html</t>
        </is>
      </c>
    </row>
    <row r="16">
      <c r="A16" s="102" t="inlineStr">
        <is>
          <t>GCC</t>
        </is>
      </c>
      <c r="B16" s="102" t="inlineStr">
        <is>
          <t>U12</t>
        </is>
      </c>
      <c r="C16" s="102" t="inlineStr">
        <is>
          <t>Dubai AI Seal</t>
        </is>
      </c>
      <c r="D16" s="102" t="inlineStr">
        <is>
          <t>Unclear</t>
        </is>
      </c>
      <c r="E16" s="102" t="inlineStr">
        <is>
          <t>Certification (procurement)</t>
        </is>
      </c>
      <c r="F16" s="102" t="inlineStr">
        <is>
          <t>AI-CTRL-012, AI-CTRL-038</t>
        </is>
      </c>
      <c r="G16" s="102" t="inlineStr">
        <is>
          <t>AI-R02, AI-R03, AI-R09, AI-R15, AI-R18, AI-R19, AI-R27, AI-R28</t>
        </is>
      </c>
      <c r="H16" s="102" t="inlineStr">
        <is>
          <t>Unverified</t>
        </is>
      </c>
      <c r="I16" s="102" t="inlineStr">
        <is>
          <t>Single source</t>
        </is>
      </c>
      <c r="J16" s="102" t="inlineStr"/>
      <c r="K16" s="102" t="inlineStr">
        <is>
          <t>https://nachi065.github.io/AI-Security-Wiki/11_GCC_AI_Compliance/07_Regulatory_Crosswalk.html</t>
        </is>
      </c>
    </row>
    <row r="17">
      <c r="A17" s="6" t="inlineStr">
        <is>
          <t>GCC</t>
        </is>
      </c>
      <c r="B17" s="6" t="inlineStr">
        <is>
          <t>S1</t>
        </is>
      </c>
      <c r="C17" s="6" t="inlineStr">
        <is>
          <t>PDPL</t>
        </is>
      </c>
      <c r="D17" s="6" t="inlineStr">
        <is>
          <t>Binding law</t>
        </is>
      </c>
      <c r="E17" s="6" t="inlineStr">
        <is>
          <t>Binding</t>
        </is>
      </c>
      <c r="F17" s="6" t="inlineStr">
        <is>
          <t>AI-CTRL-007, AI-CTRL-013, AI-CTRL-017</t>
        </is>
      </c>
      <c r="G17" s="6" t="inlineStr">
        <is>
          <t>AI-R01, AI-R03, AI-R06, AI-R10, AI-R17, AI-R27, AI-R28</t>
        </is>
      </c>
      <c r="H17" s="6" t="inlineStr">
        <is>
          <t>Conflict</t>
        </is>
      </c>
      <c r="I17" s="6" t="inlineStr">
        <is>
          <t>In-force vs enforcement dates</t>
        </is>
      </c>
      <c r="J17" s="6" t="inlineStr">
        <is>
          <t>SDAIA regulations and policies page, retrieved 10 Oct 2026 (listing only; dates not checked)</t>
        </is>
      </c>
      <c r="K17" s="6" t="inlineStr">
        <is>
          <t>https://nachi065.github.io/AI-Security-Wiki/11_GCC_AI_Compliance/07_Regulatory_Crosswalk.html</t>
        </is>
      </c>
    </row>
    <row r="18">
      <c r="A18" s="102" t="inlineStr">
        <is>
          <t>GCC</t>
        </is>
      </c>
      <c r="B18" s="102" t="inlineStr">
        <is>
          <t>S2</t>
        </is>
      </c>
      <c r="C18" s="102" t="inlineStr">
        <is>
          <t>SDAIA AI Ethics Principles</t>
        </is>
      </c>
      <c r="D18" s="102" t="inlineStr">
        <is>
          <t>Guidance</t>
        </is>
      </c>
      <c r="E18" s="102" t="inlineStr">
        <is>
          <t>Non-binding; SDAIA publishes document SDAIA-P114E, version 1, May 2025</t>
        </is>
      </c>
      <c r="F18" s="102" t="inlineStr">
        <is>
          <t>AI-CTRL-012, AI-CTRL-039, AI-CTRL-041</t>
        </is>
      </c>
      <c r="G18" s="102" t="inlineStr">
        <is>
          <t>AI-R02, AI-R03, AI-R12, AI-R14, AI-R15, AI-R18, AI-R19, AI-R20, AI-R27, AI-R28</t>
        </is>
      </c>
      <c r="H18" s="102" t="inlineStr">
        <is>
          <t>Verified</t>
        </is>
      </c>
      <c r="I18" s="102" t="inlineStr">
        <is>
          <t>Number of principles; how it relates to the v2.0 text reported for Sept 2023</t>
        </is>
      </c>
      <c r="J18" s="102" t="inlineStr">
        <is>
          <t>AI Ethics Principles, retrieved 10 Oct 2026</t>
        </is>
      </c>
      <c r="K18" s="102" t="inlineStr">
        <is>
          <t>https://nachi065.github.io/AI-Security-Wiki/11_GCC_AI_Compliance/07_Regulatory_Crosswalk.html</t>
        </is>
      </c>
    </row>
    <row r="19">
      <c r="A19" s="6" t="inlineStr">
        <is>
          <t>GCC</t>
        </is>
      </c>
      <c r="B19" s="6" t="inlineStr">
        <is>
          <t>S3</t>
        </is>
      </c>
      <c r="C19" s="6" t="inlineStr">
        <is>
          <t>SDAIA Generative AI Guidelines</t>
        </is>
      </c>
      <c r="D19" s="6" t="inlineStr">
        <is>
          <t>Guidance</t>
        </is>
      </c>
      <c r="E19" s="6" t="inlineStr">
        <is>
          <t>Two guidelines, one for government and one for the public; the government edition's cover is dated 2025</t>
        </is>
      </c>
      <c r="F19" s="6" t="inlineStr">
        <is>
          <t>AI-CTRL-002, AI-CTRL-010, AI-CTRL-012</t>
        </is>
      </c>
      <c r="G19" s="6" t="inlineStr">
        <is>
          <t>AI-R01, AI-R02, AI-R03, AI-R18, AI-R19, AI-R27, AI-R28</t>
        </is>
      </c>
      <c r="H19" s="6" t="inlineStr">
        <is>
          <t>Verified</t>
        </is>
      </c>
      <c r="I19" s="6" t="inlineStr">
        <is>
          <t>The Jan 2024 date; how far the government edition binds</t>
        </is>
      </c>
      <c r="J19" s="6" t="inlineStr">
        <is>
          <t>Generative AI Guidelines for Government; SDAIA regulations and policies page, retrieved 10 Oct 2026</t>
        </is>
      </c>
      <c r="K19" s="6" t="inlineStr">
        <is>
          <t>https://nachi065.github.io/AI-Security-Wiki/11_GCC_AI_Compliance/07_Regulatory_Crosswalk.html</t>
        </is>
      </c>
    </row>
    <row r="20">
      <c r="A20" s="102" t="inlineStr">
        <is>
          <t>GCC</t>
        </is>
      </c>
      <c r="B20" s="102" t="inlineStr">
        <is>
          <t>S4</t>
        </is>
      </c>
      <c r="C20" s="102" t="inlineStr">
        <is>
          <t>SDAIA AI Adoption Framework</t>
        </is>
      </c>
      <c r="D20" s="102" t="inlineStr">
        <is>
          <t>Guidance</t>
        </is>
      </c>
      <c r="E20" s="102" t="inlineStr">
        <is>
          <t>Guiding reference for government and private entities; cover dated 2025</t>
        </is>
      </c>
      <c r="F20" s="102" t="inlineStr">
        <is>
          <t>None</t>
        </is>
      </c>
      <c r="G20" s="102" t="inlineStr">
        <is>
          <t>None</t>
        </is>
      </c>
      <c r="H20" s="102" t="inlineStr">
        <is>
          <t>Verified</t>
        </is>
      </c>
      <c r="I20" s="102" t="inlineStr">
        <is>
          <t>Maturity levels; the Sept 2024 date</t>
        </is>
      </c>
      <c r="J20" s="102" t="inlineStr">
        <is>
          <t>AI Adoption Framework, retrieved 10 Oct 2026</t>
        </is>
      </c>
      <c r="K20" s="102" t="inlineStr">
        <is>
          <t>https://nachi065.github.io/AI-Security-Wiki/11_GCC_AI_Compliance/07_Regulatory_Crosswalk.html</t>
        </is>
      </c>
    </row>
    <row r="21">
      <c r="A21" s="6" t="inlineStr">
        <is>
          <t>GCC</t>
        </is>
      </c>
      <c r="B21" s="6" t="inlineStr">
        <is>
          <t>S5</t>
        </is>
      </c>
      <c r="C21" s="6" t="inlineStr">
        <is>
          <t>SDAIA National AI Risk Mgmt Framework (SDAIA-P145)</t>
        </is>
      </c>
      <c r="D21" s="6" t="inlineStr">
        <is>
          <t>Unclear</t>
        </is>
      </c>
      <c r="E21" s="6" t="inlineStr">
        <is>
          <t>Published 2026</t>
        </is>
      </c>
      <c r="F21" s="6" t="inlineStr">
        <is>
          <t>AI-CTRL-037</t>
        </is>
      </c>
      <c r="G21" s="6" t="inlineStr">
        <is>
          <t>AI-R02, AI-R18, AI-R28, AI-R55</t>
        </is>
      </c>
      <c r="H21" s="6" t="inlineStr">
        <is>
          <t>Conflict</t>
        </is>
      </c>
      <c r="I21" s="6" t="inlineStr">
        <is>
          <t>Date April vs July 2026; not listed on the SDAIA regulations page on 10 Oct 2026</t>
        </is>
      </c>
      <c r="J21" s="6" t="inlineStr"/>
      <c r="K21" s="6" t="inlineStr">
        <is>
          <t>https://nachi065.github.io/AI-Security-Wiki/11_GCC_AI_Compliance/07_Regulatory_Crosswalk.html</t>
        </is>
      </c>
    </row>
    <row r="22">
      <c r="A22" s="102" t="inlineStr">
        <is>
          <t>GCC</t>
        </is>
      </c>
      <c r="B22" s="102" t="inlineStr">
        <is>
          <t>S6</t>
        </is>
      </c>
      <c r="C22" s="102" t="inlineStr">
        <is>
          <t>NCA ECC and CCC</t>
        </is>
      </c>
      <c r="D22" s="102" t="inlineStr">
        <is>
          <t>Binding in scope</t>
        </is>
      </c>
      <c r="E22" s="102" t="inlineStr">
        <is>
          <t>Binding gov and CNI</t>
        </is>
      </c>
      <c r="F22" s="102" t="inlineStr">
        <is>
          <t>AI-CTRL-005, AI-CTRL-008, AI-CTRL-032</t>
        </is>
      </c>
      <c r="G22" s="102" t="inlineStr">
        <is>
          <t>AI-R05, AI-R06, AI-R08, AI-R09, AI-R10, AI-R15, AI-R24, AI-R26</t>
        </is>
      </c>
      <c r="H22" s="102" t="inlineStr">
        <is>
          <t>Reported</t>
        </is>
      </c>
      <c r="I22" s="102" t="inlineStr">
        <is>
          <t>Applicability</t>
        </is>
      </c>
      <c r="J22" s="102" t="inlineStr"/>
      <c r="K22" s="102" t="inlineStr">
        <is>
          <t>https://nachi065.github.io/AI-Security-Wiki/11_GCC_AI_Compliance/07_Regulatory_Crosswalk.html</t>
        </is>
      </c>
    </row>
    <row r="23">
      <c r="A23" s="6" t="inlineStr">
        <is>
          <t>GCC</t>
        </is>
      </c>
      <c r="B23" s="6" t="inlineStr">
        <is>
          <t>S7</t>
        </is>
      </c>
      <c r="C23" s="6" t="inlineStr">
        <is>
          <t>NCA NCNICC-1:2025</t>
        </is>
      </c>
      <c r="D23" s="6" t="inlineStr">
        <is>
          <t>Unclear</t>
        </is>
      </c>
      <c r="E23" s="6" t="inlineStr">
        <is>
          <t>Reported private sector from Jan 2026</t>
        </is>
      </c>
      <c r="F23" s="6" t="inlineStr">
        <is>
          <t>AI-CTRL-005, AI-CTRL-008, AI-CTRL-032</t>
        </is>
      </c>
      <c r="G23" s="6" t="inlineStr">
        <is>
          <t>AI-R05, AI-R06, AI-R08, AI-R09, AI-R10, AI-R15, AI-R24, AI-R26</t>
        </is>
      </c>
      <c r="H23" s="6" t="inlineStr">
        <is>
          <t>Unverified</t>
        </is>
      </c>
      <c r="I23" s="6" t="inlineStr">
        <is>
          <t>Applicability</t>
        </is>
      </c>
      <c r="J23" s="6" t="inlineStr"/>
      <c r="K23" s="6" t="inlineStr">
        <is>
          <t>https://nachi065.github.io/AI-Security-Wiki/11_GCC_AI_Compliance/07_Regulatory_Crosswalk.html</t>
        </is>
      </c>
    </row>
    <row r="24">
      <c r="A24" s="102" t="inlineStr">
        <is>
          <t>GCC</t>
        </is>
      </c>
      <c r="B24" s="102" t="inlineStr">
        <is>
          <t>S8</t>
        </is>
      </c>
      <c r="C24" s="102" t="inlineStr">
        <is>
          <t>NCA AI Cybersecurity Guidelines</t>
        </is>
      </c>
      <c r="D24" s="102" t="inlineStr">
        <is>
          <t>Proposed</t>
        </is>
      </c>
      <c r="E24" s="102" t="inlineStr">
        <is>
          <t>Consultation closed 5 Aug 2026</t>
        </is>
      </c>
      <c r="F24" s="102" t="inlineStr">
        <is>
          <t>None</t>
        </is>
      </c>
      <c r="G24" s="102" t="inlineStr">
        <is>
          <t>None</t>
        </is>
      </c>
      <c r="H24" s="102" t="inlineStr">
        <is>
          <t>Verified</t>
        </is>
      </c>
      <c r="I24" s="102" t="inlineStr">
        <is>
          <t>Final text</t>
        </is>
      </c>
      <c r="J24" s="102" t="inlineStr">
        <is>
          <t>NCA consultation announcement; NCA public consultations page, retrieved 19 Oct 2026 (feedback deadline 5 Aug 2026; listed as Closed; no final text published)</t>
        </is>
      </c>
      <c r="K24" s="102" t="inlineStr">
        <is>
          <t>https://nachi065.github.io/AI-Security-Wiki/11_GCC_AI_Compliance/07_Regulatory_Crosswalk.html</t>
        </is>
      </c>
    </row>
    <row r="25">
      <c r="A25" s="6" t="inlineStr">
        <is>
          <t>GCC</t>
        </is>
      </c>
      <c r="B25" s="6" t="inlineStr">
        <is>
          <t>S9</t>
        </is>
      </c>
      <c r="C25" s="6" t="inlineStr">
        <is>
          <t>Copyright TDM exception</t>
        </is>
      </c>
      <c r="D25" s="6" t="inlineStr">
        <is>
          <t>Binding law</t>
        </is>
      </c>
      <c r="E25" s="6" t="inlineStr">
        <is>
          <t>Reported eff. 12 Aug 2026</t>
        </is>
      </c>
      <c r="F25" s="6" t="inlineStr">
        <is>
          <t>AI-CTRL-029</t>
        </is>
      </c>
      <c r="G25" s="6" t="inlineStr">
        <is>
          <t>AI-R08</t>
        </is>
      </c>
      <c r="H25" s="6" t="inlineStr">
        <is>
          <t>Reported</t>
        </is>
      </c>
      <c r="I25" s="6" t="inlineStr">
        <is>
          <t>Text</t>
        </is>
      </c>
      <c r="J25" s="6" t="inlineStr"/>
      <c r="K25" s="6" t="inlineStr">
        <is>
          <t>https://nachi065.github.io/AI-Security-Wiki/11_GCC_AI_Compliance/07_Regulatory_Crosswalk.html</t>
        </is>
      </c>
    </row>
    <row r="26">
      <c r="A26" s="102" t="inlineStr">
        <is>
          <t>GCC</t>
        </is>
      </c>
      <c r="B26" s="102" t="inlineStr">
        <is>
          <t>S10</t>
        </is>
      </c>
      <c r="C26" s="102" t="inlineStr">
        <is>
          <t>NDMO/CST/SAMA localisation overlays</t>
        </is>
      </c>
      <c r="D26" s="102" t="inlineStr">
        <is>
          <t>Unclear</t>
        </is>
      </c>
      <c r="E26" s="102" t="inlineStr">
        <is>
          <t>Overlay</t>
        </is>
      </c>
      <c r="F26" s="102" t="inlineStr">
        <is>
          <t>AI-CTRL-007</t>
        </is>
      </c>
      <c r="G26" s="102" t="inlineStr">
        <is>
          <t>AI-R10</t>
        </is>
      </c>
      <c r="H26" s="102" t="inlineStr">
        <is>
          <t>Unverified</t>
        </is>
      </c>
      <c r="I26" s="102" t="inlineStr">
        <is>
          <t>All</t>
        </is>
      </c>
      <c r="J26" s="102" t="inlineStr"/>
      <c r="K26" s="102" t="inlineStr">
        <is>
          <t>https://nachi065.github.io/AI-Security-Wiki/11_GCC_AI_Compliance/07_Regulatory_Crosswalk.html</t>
        </is>
      </c>
    </row>
    <row r="27">
      <c r="A27" s="6" t="inlineStr">
        <is>
          <t>GCC</t>
        </is>
      </c>
      <c r="B27" s="6" t="inlineStr">
        <is>
          <t>Q1</t>
        </is>
      </c>
      <c r="C27" s="6" t="inlineStr">
        <is>
          <t>Law 13/2016 PDPPL</t>
        </is>
      </c>
      <c r="D27" s="6" t="inlineStr">
        <is>
          <t>Binding law</t>
        </is>
      </c>
      <c r="E27" s="6" t="inlineStr">
        <is>
          <t>Binding</t>
        </is>
      </c>
      <c r="F27" s="6" t="inlineStr">
        <is>
          <t>AI-CTRL-007, AI-CTRL-013, AI-CTRL-017</t>
        </is>
      </c>
      <c r="G27" s="6" t="inlineStr">
        <is>
          <t>AI-R01, AI-R03, AI-R06, AI-R10, AI-R17, AI-R27, AI-R28</t>
        </is>
      </c>
      <c r="H27" s="6" t="inlineStr">
        <is>
          <t>Reported</t>
        </is>
      </c>
      <c r="I27" s="6" t="inlineStr">
        <is>
          <t>Articles</t>
        </is>
      </c>
      <c r="J27" s="6" t="inlineStr"/>
      <c r="K27" s="6" t="inlineStr">
        <is>
          <t>https://nachi065.github.io/AI-Security-Wiki/11_GCC_AI_Compliance/07_Regulatory_Crosswalk.html</t>
        </is>
      </c>
    </row>
    <row r="28">
      <c r="A28" s="102" t="inlineStr">
        <is>
          <t>GCC</t>
        </is>
      </c>
      <c r="B28" s="102" t="inlineStr">
        <is>
          <t>Q2</t>
        </is>
      </c>
      <c r="C28" s="102" t="inlineStr">
        <is>
          <t>NCSA Guidelines for Secure Adoption and Usage of AI</t>
        </is>
      </c>
      <c r="D28" s="102" t="inlineStr">
        <is>
          <t>Voluntary</t>
        </is>
      </c>
      <c r="E28" s="102" t="inlineStr">
        <is>
          <t>Voluntary (reported)</t>
        </is>
      </c>
      <c r="F28" s="102" t="inlineStr">
        <is>
          <t>None</t>
        </is>
      </c>
      <c r="G28" s="102" t="inlineStr">
        <is>
          <t>None</t>
        </is>
      </c>
      <c r="H28" s="102" t="inlineStr">
        <is>
          <t>Reported</t>
        </is>
      </c>
      <c r="I28" s="102" t="inlineStr">
        <is>
          <t>Binding drift</t>
        </is>
      </c>
      <c r="J28" s="102" t="inlineStr"/>
      <c r="K28" s="102" t="inlineStr">
        <is>
          <t>https://nachi065.github.io/AI-Security-Wiki/11_GCC_AI_Compliance/07_Regulatory_Crosswalk.html</t>
        </is>
      </c>
    </row>
    <row r="29">
      <c r="A29" s="6" t="inlineStr">
        <is>
          <t>GCC</t>
        </is>
      </c>
      <c r="B29" s="6" t="inlineStr">
        <is>
          <t>Q3</t>
        </is>
      </c>
      <c r="C29" s="6" t="inlineStr">
        <is>
          <t>MCIT Ethical AI Principles</t>
        </is>
      </c>
      <c r="D29" s="6" t="inlineStr">
        <is>
          <t>Guidance</t>
        </is>
      </c>
      <c r="E29" s="6" t="inlineStr">
        <is>
          <t>Non-binding</t>
        </is>
      </c>
      <c r="F29" s="6" t="inlineStr">
        <is>
          <t>AI-CTRL-012, AI-CTRL-039, AI-CTRL-041</t>
        </is>
      </c>
      <c r="G29" s="6" t="inlineStr">
        <is>
          <t>AI-R02, AI-R03, AI-R12, AI-R14, AI-R15, AI-R18, AI-R19, AI-R20, AI-R27, AI-R28</t>
        </is>
      </c>
      <c r="H29" s="6" t="inlineStr">
        <is>
          <t>Conflict</t>
        </is>
      </c>
      <c r="I29" s="6" t="inlineStr">
        <is>
          <t>Year</t>
        </is>
      </c>
      <c r="J29" s="6" t="inlineStr"/>
      <c r="K29" s="6" t="inlineStr">
        <is>
          <t>https://nachi065.github.io/AI-Security-Wiki/11_GCC_AI_Compliance/07_Regulatory_Crosswalk.html</t>
        </is>
      </c>
    </row>
    <row r="30">
      <c r="A30" s="102" t="inlineStr">
        <is>
          <t>GCC</t>
        </is>
      </c>
      <c r="B30" s="102" t="inlineStr">
        <is>
          <t>Q4</t>
        </is>
      </c>
      <c r="C30" s="102" t="inlineStr">
        <is>
          <t>QCB AI Guideline (4 Sep 2024)</t>
        </is>
      </c>
      <c r="D30" s="102" t="inlineStr">
        <is>
          <t>Binding in scope</t>
        </is>
      </c>
      <c r="E30" s="102" t="inlineStr">
        <is>
          <t>Reported binding for licensees</t>
        </is>
      </c>
      <c r="F30" s="102" t="inlineStr">
        <is>
          <t>AI-CTRL-011, AI-CTRL-023, AI-CTRL-033, AI-CTRL-041</t>
        </is>
      </c>
      <c r="G30" s="102" t="inlineStr">
        <is>
          <t>AI-R02, AI-R05, AI-R07, AI-R08, AI-R12, AI-R14, AI-R15, AI-R16, AI-R18, AI-R19, AI-R55</t>
        </is>
      </c>
      <c r="H30" s="102" t="inlineStr">
        <is>
          <t>Reported</t>
        </is>
      </c>
      <c r="I30" s="102" t="inlineStr">
        <is>
          <t>Binding status</t>
        </is>
      </c>
      <c r="J30" s="102" t="inlineStr"/>
      <c r="K30" s="102" t="inlineStr">
        <is>
          <t>https://nachi065.github.io/AI-Security-Wiki/11_GCC_AI_Compliance/07_Regulatory_Crosswalk.html</t>
        </is>
      </c>
    </row>
    <row r="31">
      <c r="A31" s="6" t="inlineStr">
        <is>
          <t>GCC</t>
        </is>
      </c>
      <c r="B31" s="6" t="inlineStr">
        <is>
          <t>B1</t>
        </is>
      </c>
      <c r="C31" s="6" t="inlineStr">
        <is>
          <t>Law 30/2018 PDPL</t>
        </is>
      </c>
      <c r="D31" s="6" t="inlineStr">
        <is>
          <t>Binding law</t>
        </is>
      </c>
      <c r="E31" s="6" t="inlineStr">
        <is>
          <t>Binding; Law No. (30) of 2018 with Respect to Personal Data Protection Law</t>
        </is>
      </c>
      <c r="F31" s="6" t="inlineStr">
        <is>
          <t>AI-CTRL-013</t>
        </is>
      </c>
      <c r="G31" s="6" t="inlineStr">
        <is>
          <t>AI-R03, AI-R10, AI-R27, AI-R28</t>
        </is>
      </c>
      <c r="H31" s="6" t="inlineStr">
        <is>
          <t>Verified</t>
        </is>
      </c>
      <c r="I31" s="6" t="inlineStr">
        <is>
          <t>Articles</t>
        </is>
      </c>
      <c r="J31" s="6" t="inlineStr">
        <is>
          <t>Personal Data Protection Authority: The Law, retrieved 19 Oct 2026 (re-read: Law No. (30) of 2018, promulgated 12 Jul 2018; no amendment listed)</t>
        </is>
      </c>
      <c r="K31" s="6" t="inlineStr">
        <is>
          <t>https://nachi065.github.io/AI-Security-Wiki/11_GCC_AI_Compliance/07_Regulatory_Crosswalk.html</t>
        </is>
      </c>
    </row>
    <row r="32">
      <c r="A32" s="102" t="inlineStr">
        <is>
          <t>GCC</t>
        </is>
      </c>
      <c r="B32" s="102" t="inlineStr">
        <is>
          <t>B2</t>
        </is>
      </c>
      <c r="C32" s="102" t="inlineStr">
        <is>
          <t>General Policy for Use of AI (May 2025)</t>
        </is>
      </c>
      <c r="D32" s="102" t="inlineStr">
        <is>
          <t>Binding in scope</t>
        </is>
      </c>
      <c r="E32" s="102" t="inlineStr">
        <is>
          <t>Reported binding on government</t>
        </is>
      </c>
      <c r="F32" s="102" t="inlineStr">
        <is>
          <t>AI-CTRL-012</t>
        </is>
      </c>
      <c r="G32" s="102" t="inlineStr">
        <is>
          <t>AI-R02, AI-R03, AI-R18, AI-R19, AI-R27, AI-R28</t>
        </is>
      </c>
      <c r="H32" s="102" t="inlineStr">
        <is>
          <t>Reported</t>
        </is>
      </c>
      <c r="I32" s="102" t="inlineStr">
        <is>
          <t>Scope</t>
        </is>
      </c>
      <c r="J32" s="102" t="inlineStr"/>
      <c r="K32" s="102" t="inlineStr">
        <is>
          <t>https://nachi065.github.io/AI-Security-Wiki/11_GCC_AI_Compliance/07_Regulatory_Crosswalk.html</t>
        </is>
      </c>
    </row>
    <row r="33">
      <c r="A33" s="6" t="inlineStr">
        <is>
          <t>GCC</t>
        </is>
      </c>
      <c r="B33" s="6" t="inlineStr">
        <is>
          <t>B3</t>
        </is>
      </c>
      <c r="C33" s="6" t="inlineStr">
        <is>
          <t>Draft AI law (38 articles)</t>
        </is>
      </c>
      <c r="D33" s="6" t="inlineStr">
        <is>
          <t>Proposed</t>
        </is>
      </c>
      <c r="E33" s="6" t="inlineStr">
        <is>
          <t>Not enacted per sources</t>
        </is>
      </c>
      <c r="F33" s="6" t="inlineStr">
        <is>
          <t>None</t>
        </is>
      </c>
      <c r="G33" s="6" t="inlineStr">
        <is>
          <t>None</t>
        </is>
      </c>
      <c r="H33" s="6" t="inlineStr">
        <is>
          <t>Reported</t>
        </is>
      </c>
      <c r="I33" s="6" t="inlineStr">
        <is>
          <t>Re-check</t>
        </is>
      </c>
      <c r="J33" s="6" t="inlineStr"/>
      <c r="K33" s="6" t="inlineStr">
        <is>
          <t>https://nachi065.github.io/AI-Security-Wiki/11_GCC_AI_Compliance/07_Regulatory_Crosswalk.html</t>
        </is>
      </c>
    </row>
    <row r="34">
      <c r="A34" s="102" t="inlineStr">
        <is>
          <t>GCC</t>
        </is>
      </c>
      <c r="B34" s="102" t="inlineStr">
        <is>
          <t>B4</t>
        </is>
      </c>
      <c r="C34" s="102" t="inlineStr">
        <is>
          <t>CBB digital financial advice directives</t>
        </is>
      </c>
      <c r="D34" s="102" t="inlineStr">
        <is>
          <t>Unclear</t>
        </is>
      </c>
      <c r="E34" s="102" t="inlineStr">
        <is>
          <t>Sector</t>
        </is>
      </c>
      <c r="F34" s="102" t="inlineStr">
        <is>
          <t>AI-CTRL-023</t>
        </is>
      </c>
      <c r="G34" s="102" t="inlineStr">
        <is>
          <t>AI-R07, AI-R19</t>
        </is>
      </c>
      <c r="H34" s="102" t="inlineStr">
        <is>
          <t>Reported</t>
        </is>
      </c>
      <c r="I34" s="102" t="inlineStr">
        <is>
          <t>Scope</t>
        </is>
      </c>
      <c r="J34" s="102" t="inlineStr"/>
      <c r="K34" s="102" t="inlineStr">
        <is>
          <t>https://nachi065.github.io/AI-Security-Wiki/11_GCC_AI_Compliance/07_Regulatory_Crosswalk.html</t>
        </is>
      </c>
    </row>
    <row r="35">
      <c r="A35" s="6" t="inlineStr">
        <is>
          <t>GCC</t>
        </is>
      </c>
      <c r="B35" s="6" t="inlineStr">
        <is>
          <t>O1</t>
        </is>
      </c>
      <c r="C35" s="6" t="inlineStr">
        <is>
          <t>National AI Policy (9 Apr 2025)</t>
        </is>
      </c>
      <c r="D35" s="6" t="inlineStr">
        <is>
          <t>Binding in scope</t>
        </is>
      </c>
      <c r="E35" s="6" t="inlineStr">
        <is>
          <t>Reported mandatory within scope</t>
        </is>
      </c>
      <c r="F35" s="6" t="inlineStr">
        <is>
          <t>AI-CTRL-011, AI-CTRL-037, AI-CTRL-038</t>
        </is>
      </c>
      <c r="G35" s="6" t="inlineStr">
        <is>
          <t>AI-R02, AI-R09, AI-R15, AI-R18, AI-R28, AI-R55</t>
        </is>
      </c>
      <c r="H35" s="6" t="inlineStr">
        <is>
          <t>Reported</t>
        </is>
      </c>
      <c r="I35" s="6" t="inlineStr">
        <is>
          <t>Scope</t>
        </is>
      </c>
      <c r="J35" s="6" t="inlineStr"/>
      <c r="K35" s="6" t="inlineStr">
        <is>
          <t>https://nachi065.github.io/AI-Security-Wiki/11_GCC_AI_Compliance/07_Regulatory_Crosswalk.html</t>
        </is>
      </c>
    </row>
    <row r="36">
      <c r="A36" s="102" t="inlineStr">
        <is>
          <t>GCC</t>
        </is>
      </c>
      <c r="B36" s="102" t="inlineStr">
        <is>
          <t>O2</t>
        </is>
      </c>
      <c r="C36" s="102" t="inlineStr">
        <is>
          <t>PDPL amendments</t>
        </is>
      </c>
      <c r="D36" s="102" t="inlineStr">
        <is>
          <t>Binding law</t>
        </is>
      </c>
      <c r="E36" s="102" t="inlineStr">
        <is>
          <t>Issued by Royal Decree 68/2026 of 3 Sep 2026; published in Official Gazette 1664 on 6 Sep 2026; in force the day after publication (reported)</t>
        </is>
      </c>
      <c r="F36" s="102" t="inlineStr">
        <is>
          <t>AI-CTRL-013</t>
        </is>
      </c>
      <c r="G36" s="102" t="inlineStr">
        <is>
          <t>AI-R03, AI-R10, AI-R27, AI-R28</t>
        </is>
      </c>
      <c r="H36" s="102" t="inlineStr">
        <is>
          <t>Reported</t>
        </is>
      </c>
      <c r="I36" s="102" t="inlineStr">
        <is>
          <t>Official Gazette text; amended articles</t>
        </is>
      </c>
      <c r="J36" s="102" t="inlineStr"/>
      <c r="K36" s="102" t="inlineStr">
        <is>
          <t>https://nachi065.github.io/AI-Security-Wiki/11_GCC_AI_Compliance/07_Regulatory_Crosswalk.html</t>
        </is>
      </c>
    </row>
    <row r="37">
      <c r="A37" s="6" t="inlineStr">
        <is>
          <t>GCC</t>
        </is>
      </c>
      <c r="B37" s="6" t="inlineStr">
        <is>
          <t>K1</t>
        </is>
      </c>
      <c r="C37" s="6" t="inlineStr">
        <is>
          <t>None listed</t>
        </is>
      </c>
      <c r="D37" s="6" t="inlineStr">
        <is>
          <t>Context</t>
        </is>
      </c>
      <c r="E37" s="6" t="inlineStr"/>
      <c r="F37" s="6" t="inlineStr">
        <is>
          <t>None</t>
        </is>
      </c>
      <c r="G37" s="6" t="inlineStr">
        <is>
          <t>None</t>
        </is>
      </c>
      <c r="H37" s="6" t="inlineStr">
        <is>
          <t>Unverified</t>
        </is>
      </c>
      <c r="I37" s="6" t="inlineStr">
        <is>
          <t>Not researched</t>
        </is>
      </c>
      <c r="J37" s="6" t="inlineStr"/>
      <c r="K37" s="6" t="inlineStr">
        <is>
          <t>https://nachi065.github.io/AI-Security-Wiki/11_GCC_AI_Compliance/07_Regulatory_Crosswalk.html</t>
        </is>
      </c>
    </row>
    <row r="38">
      <c r="A38" s="102" t="inlineStr">
        <is>
          <t>EU</t>
        </is>
      </c>
      <c r="B38" s="102" t="inlineStr">
        <is>
          <t>E1</t>
        </is>
      </c>
      <c r="C38" s="102" t="inlineStr">
        <is>
          <t>AI Act (Regulation (EU) 2024/1689) as amended by the Digital Omnibus on AI (Regulation (EU) 2026/1744)</t>
        </is>
      </c>
      <c r="D38" s="102" t="inlineStr">
        <is>
          <t>Binding law</t>
        </is>
      </c>
      <c r="E38" s="102" t="inlineStr">
        <is>
          <t>Binding; phased. Omnibus in force 27 Jul 2026</t>
        </is>
      </c>
      <c r="F38" s="102" t="inlineStr">
        <is>
          <t>None</t>
        </is>
      </c>
      <c r="G38" s="102" t="inlineStr">
        <is>
          <t>None</t>
        </is>
      </c>
      <c r="H38" s="102" t="inlineStr">
        <is>
          <t>Verified</t>
        </is>
      </c>
      <c r="I38" s="102" t="inlineStr">
        <is>
          <t>Original Art. 113 wording; consolidated text</t>
        </is>
      </c>
      <c r="J38" s="102" t="inlineStr">
        <is>
          <t>Regulation (EU) 2024/1689; Regulation (EU) 2026/1744, retrieved 10 Oct 2026</t>
        </is>
      </c>
      <c r="K38" s="102" t="inlineStr">
        <is>
          <t>https://nachi065.github.io/AI-Security-Wiki/12_EU_AI_Compliance/07_Regulatory_Crosswalk.html</t>
        </is>
      </c>
    </row>
    <row r="39">
      <c r="A39" s="6" t="inlineStr">
        <is>
          <t>EU</t>
        </is>
      </c>
      <c r="B39" s="6" t="inlineStr">
        <is>
          <t>E1a</t>
        </is>
      </c>
      <c r="C39" s="6" t="inlineStr">
        <is>
          <t>AI Act Art. 5 prohibited practices</t>
        </is>
      </c>
      <c r="D39" s="6" t="inlineStr">
        <is>
          <t>Binding law</t>
        </is>
      </c>
      <c r="E39" s="6" t="inlineStr">
        <is>
          <t>Applies from 2 Feb 2025; new points (ba) and (bb) from 2 Dec 2026</t>
        </is>
      </c>
      <c r="F39" s="6" t="inlineStr">
        <is>
          <t>AI-CTRL-011, AI-CTRL-012</t>
        </is>
      </c>
      <c r="G39" s="6" t="inlineStr">
        <is>
          <t>AI-R02, AI-R03, AI-R18, AI-R19, AI-R27, AI-R28</t>
        </is>
      </c>
      <c r="H39" s="6" t="inlineStr">
        <is>
          <t>Verified</t>
        </is>
      </c>
      <c r="I39" s="6" t="inlineStr">
        <is>
          <t>Full list of prohibited practices</t>
        </is>
      </c>
      <c r="J39" s="6" t="inlineStr">
        <is>
          <t>Regulation (EU) 2026/1744, retrieved 10 Oct 2026</t>
        </is>
      </c>
      <c r="K39" s="6" t="inlineStr">
        <is>
          <t>https://nachi065.github.io/AI-Security-Wiki/12_EU_AI_Compliance/07_Regulatory_Crosswalk.html</t>
        </is>
      </c>
    </row>
    <row r="40">
      <c r="A40" s="102" t="inlineStr">
        <is>
          <t>EU</t>
        </is>
      </c>
      <c r="B40" s="102" t="inlineStr">
        <is>
          <t>E1b</t>
        </is>
      </c>
      <c r="C40" s="102" t="inlineStr">
        <is>
          <t>AI Act Art. 4 AI literacy</t>
        </is>
      </c>
      <c r="D40" s="102" t="inlineStr">
        <is>
          <t>Binding law</t>
        </is>
      </c>
      <c r="E40" s="102" t="inlineStr">
        <is>
          <t>Applies from 2 Feb 2025; reworded by the omnibus as a duty to support AI literacy</t>
        </is>
      </c>
      <c r="F40" s="102" t="inlineStr">
        <is>
          <t>AI-CTRL-012</t>
        </is>
      </c>
      <c r="G40" s="102" t="inlineStr">
        <is>
          <t>AI-R02, AI-R03, AI-R18, AI-R19, AI-R27, AI-R28</t>
        </is>
      </c>
      <c r="H40" s="102" t="inlineStr">
        <is>
          <t>Verified</t>
        </is>
      </c>
      <c r="I40" s="102" t="inlineStr">
        <is>
          <t>Commission examples under Art. 4(2)</t>
        </is>
      </c>
      <c r="J40" s="102" t="inlineStr">
        <is>
          <t>Regulation (EU) 2026/1744, retrieved 10 Oct 2026</t>
        </is>
      </c>
      <c r="K40" s="102" t="inlineStr">
        <is>
          <t>https://nachi065.github.io/AI-Security-Wiki/12_EU_AI_Compliance/07_Regulatory_Crosswalk.html</t>
        </is>
      </c>
    </row>
    <row r="41">
      <c r="A41" s="6" t="inlineStr">
        <is>
          <t>EU</t>
        </is>
      </c>
      <c r="B41" s="6" t="inlineStr">
        <is>
          <t>E1c</t>
        </is>
      </c>
      <c r="C41" s="6" t="inlineStr">
        <is>
          <t>AI Act high-risk (Arts. 9 to 17, 26, 27, 43 to 49, 72, 73)</t>
        </is>
      </c>
      <c r="D41" s="6" t="inlineStr">
        <is>
          <t>Binding law</t>
        </is>
      </c>
      <c r="E41" s="6" t="inlineStr">
        <is>
          <t>Annex III from 2 Dec 2027; Annex I from 2 Aug 2028</t>
        </is>
      </c>
      <c r="F41" s="6" t="inlineStr">
        <is>
          <t>AI-CTRL-008, AI-CTRL-013, AI-CTRL-023, AI-CTRL-034, AI-CTRL-035, AI-CTRL-037, AI-CTRL-038, AI-CTRL-039</t>
        </is>
      </c>
      <c r="G41" s="6" t="inlineStr">
        <is>
          <t>AI-R02, AI-R03, AI-R05, AI-R07, AI-R09, AI-R10, AI-R12, AI-R14, AI-R15, AI-R16, AI-R17, AI-R18, AI-R19, AI-R20, AI-R26, AI-R27, AI-R28, AI-R55</t>
        </is>
      </c>
      <c r="H41" s="6" t="inlineStr">
        <is>
          <t>Verified</t>
        </is>
      </c>
      <c r="I41" s="6" t="inlineStr">
        <is>
          <t>Article text</t>
        </is>
      </c>
      <c r="J41" s="6" t="inlineStr">
        <is>
          <t>Regulation (EU) 2026/1744, retrieved 10 Oct 2026</t>
        </is>
      </c>
      <c r="K41" s="6" t="inlineStr">
        <is>
          <t>https://nachi065.github.io/AI-Security-Wiki/12_EU_AI_Compliance/07_Regulatory_Crosswalk.html</t>
        </is>
      </c>
    </row>
    <row r="42">
      <c r="A42" s="102" t="inlineStr">
        <is>
          <t>EU</t>
        </is>
      </c>
      <c r="B42" s="102" t="inlineStr">
        <is>
          <t>E1d</t>
        </is>
      </c>
      <c r="C42" s="102" t="inlineStr">
        <is>
          <t>AI Act Art. 50 transparency</t>
        </is>
      </c>
      <c r="D42" s="102" t="inlineStr">
        <is>
          <t>Binding law</t>
        </is>
      </c>
      <c r="E42" s="102" t="inlineStr">
        <is>
          <t>From 2 Aug 2026; systems placed on the market before that date have until 2 Dec 2026 for Art. 50(2)</t>
        </is>
      </c>
      <c r="F42" s="102" t="inlineStr">
        <is>
          <t>AI-CTRL-039</t>
        </is>
      </c>
      <c r="G42" s="102" t="inlineStr">
        <is>
          <t>AI-R12, AI-R14, AI-R20</t>
        </is>
      </c>
      <c r="H42" s="102" t="inlineStr">
        <is>
          <t>Verified; Reported</t>
        </is>
      </c>
      <c r="I42" s="102" t="inlineStr">
        <is>
          <t>General 2 Aug 2026 date in the original Art. 113</t>
        </is>
      </c>
      <c r="J42" s="102" t="inlineStr">
        <is>
          <t>Regulation (EU) 2026/1744, retrieved 10 Oct 2026</t>
        </is>
      </c>
      <c r="K42" s="102" t="inlineStr">
        <is>
          <t>https://nachi065.github.io/AI-Security-Wiki/12_EU_AI_Compliance/07_Regulatory_Crosswalk.html</t>
        </is>
      </c>
    </row>
    <row r="43">
      <c r="A43" s="6" t="inlineStr">
        <is>
          <t>EU</t>
        </is>
      </c>
      <c r="B43" s="6" t="inlineStr">
        <is>
          <t>E1e</t>
        </is>
      </c>
      <c r="C43" s="6" t="inlineStr">
        <is>
          <t>AI Act GPAI (Arts. 51 to 55)</t>
        </is>
      </c>
      <c r="D43" s="6" t="inlineStr">
        <is>
          <t>Binding law</t>
        </is>
      </c>
      <c r="E43" s="6" t="inlineStr">
        <is>
          <t>Applies since 2 Aug 2025; enforcement from 2 Aug 2026</t>
        </is>
      </c>
      <c r="F43" s="6" t="inlineStr">
        <is>
          <t>AI-CTRL-014, AI-CTRL-028, AI-CTRL-029</t>
        </is>
      </c>
      <c r="G43" s="6" t="inlineStr">
        <is>
          <t>AI-R08, AI-R10, AI-R16</t>
        </is>
      </c>
      <c r="H43" s="6" t="inlineStr">
        <is>
          <t>Reported</t>
        </is>
      </c>
      <c r="I43" s="6" t="inlineStr">
        <is>
          <t>Art. 113 text; guidelines</t>
        </is>
      </c>
      <c r="J43" s="6" t="inlineStr">
        <is>
          <t>Commission page on the GPAI guidelines, retrieved 10 Oct 2026 (states application from 2 Aug 2025; not the OJ text)</t>
        </is>
      </c>
      <c r="K43" s="6" t="inlineStr">
        <is>
          <t>https://nachi065.github.io/AI-Security-Wiki/12_EU_AI_Compliance/07_Regulatory_Crosswalk.html</t>
        </is>
      </c>
    </row>
    <row r="44">
      <c r="A44" s="102" t="inlineStr">
        <is>
          <t>EU</t>
        </is>
      </c>
      <c r="B44" s="102" t="inlineStr">
        <is>
          <t>E2</t>
        </is>
      </c>
      <c r="C44" s="102" t="inlineStr">
        <is>
          <t>GDPR</t>
        </is>
      </c>
      <c r="D44" s="102" t="inlineStr">
        <is>
          <t>Binding law</t>
        </is>
      </c>
      <c r="E44" s="102" t="inlineStr">
        <is>
          <t>Binding</t>
        </is>
      </c>
      <c r="F44" s="102" t="inlineStr">
        <is>
          <t>AI-CTRL-007, AI-CTRL-013, AI-CTRL-017, AI-CTRL-035</t>
        </is>
      </c>
      <c r="G44" s="102" t="inlineStr">
        <is>
          <t>AI-R01, AI-R03, AI-R06, AI-R09, AI-R10, AI-R17, AI-R20, AI-R27, AI-R28</t>
        </is>
      </c>
      <c r="H44" s="102" t="inlineStr">
        <is>
          <t>Recalled</t>
        </is>
      </c>
      <c r="I44" s="102" t="inlineStr">
        <is>
          <t>Articles; national law</t>
        </is>
      </c>
      <c r="J44" s="102" t="inlineStr">
        <is>
          <t>Regulation (EU) 2016/679, retrieved 10 Oct 2026 (title and OJ reference only)</t>
        </is>
      </c>
      <c r="K44" s="102" t="inlineStr">
        <is>
          <t>https://nachi065.github.io/AI-Security-Wiki/12_EU_AI_Compliance/07_Regulatory_Crosswalk.html</t>
        </is>
      </c>
    </row>
    <row r="45">
      <c r="A45" s="6" t="inlineStr">
        <is>
          <t>EU</t>
        </is>
      </c>
      <c r="B45" s="6" t="inlineStr">
        <is>
          <t>E3</t>
        </is>
      </c>
      <c r="C45" s="6" t="inlineStr">
        <is>
          <t>EDPB opinion on AI models and personal data</t>
        </is>
      </c>
      <c r="D45" s="6" t="inlineStr">
        <is>
          <t>Guidance</t>
        </is>
      </c>
      <c r="E45" s="6" t="inlineStr">
        <is>
          <t>Guidance; Opinion 28/2024, adopted 18 Dec 2024</t>
        </is>
      </c>
      <c r="F45" s="6" t="inlineStr">
        <is>
          <t>AI-CTRL-013</t>
        </is>
      </c>
      <c r="G45" s="6" t="inlineStr">
        <is>
          <t>AI-R03, AI-R10, AI-R27, AI-R28</t>
        </is>
      </c>
      <c r="H45" s="6" t="inlineStr">
        <is>
          <t>Verified</t>
        </is>
      </c>
      <c r="I45" s="6" t="inlineStr">
        <is>
          <t>Content</t>
        </is>
      </c>
      <c r="J45" s="6" t="inlineStr">
        <is>
          <t>EDPB Opinion 28/2024, retrieved 10 Oct 2026</t>
        </is>
      </c>
      <c r="K45" s="6" t="inlineStr">
        <is>
          <t>https://nachi065.github.io/AI-Security-Wiki/12_EU_AI_Compliance/07_Regulatory_Crosswalk.html</t>
        </is>
      </c>
    </row>
    <row r="46">
      <c r="A46" s="102" t="inlineStr">
        <is>
          <t>EU</t>
        </is>
      </c>
      <c r="B46" s="102" t="inlineStr">
        <is>
          <t>E4</t>
        </is>
      </c>
      <c r="C46" s="102" t="inlineStr">
        <is>
          <t>Digital Omnibus (data/GDPR)</t>
        </is>
      </c>
      <c r="D46" s="102" t="inlineStr">
        <is>
          <t>Proposed</t>
        </is>
      </c>
      <c r="E46" s="102" t="inlineStr">
        <is>
          <t>Proposal of 19 Nov 2025; Council mandate agreed 21 Oct 2026; Parliament position pending; not before 2027</t>
        </is>
      </c>
      <c r="F46" s="102" t="inlineStr">
        <is>
          <t>AI-CTRL-013</t>
        </is>
      </c>
      <c r="G46" s="102" t="inlineStr">
        <is>
          <t>AI-R03, AI-R10, AI-R27, AI-R28</t>
        </is>
      </c>
      <c r="H46" s="102" t="inlineStr">
        <is>
          <t>Reported</t>
        </is>
      </c>
      <c r="I46" s="102" t="inlineStr">
        <is>
          <t>Parliament position; adoption date</t>
        </is>
      </c>
      <c r="J46" s="102" t="inlineStr">
        <is>
          <t>Council press release of 21 Oct 2026, retrieved 24 Oct 2026 (Council mandate only)</t>
        </is>
      </c>
      <c r="K46" s="102" t="inlineStr">
        <is>
          <t>https://nachi065.github.io/AI-Security-Wiki/12_EU_AI_Compliance/07_Regulatory_Crosswalk.html</t>
        </is>
      </c>
    </row>
    <row r="47">
      <c r="A47" s="6" t="inlineStr">
        <is>
          <t>EU</t>
        </is>
      </c>
      <c r="B47" s="6" t="inlineStr">
        <is>
          <t>E5</t>
        </is>
      </c>
      <c r="C47" s="6" t="inlineStr">
        <is>
          <t>NIS2</t>
        </is>
      </c>
      <c r="D47" s="6" t="inlineStr">
        <is>
          <t>Binding law</t>
        </is>
      </c>
      <c r="E47" s="6" t="inlineStr">
        <is>
          <t>Binding via national law</t>
        </is>
      </c>
      <c r="F47" s="6" t="inlineStr">
        <is>
          <t>AI-CTRL-005, AI-CTRL-035</t>
        </is>
      </c>
      <c r="G47" s="6" t="inlineStr">
        <is>
          <t>AI-R05, AI-R06, AI-R09, AI-R20, AI-R24</t>
        </is>
      </c>
      <c r="H47" s="6" t="inlineStr">
        <is>
          <t>Recalled</t>
        </is>
      </c>
      <c r="I47" s="6" t="inlineStr">
        <is>
          <t>National transposition</t>
        </is>
      </c>
      <c r="J47" s="6" t="inlineStr">
        <is>
          <t>Directive (EU) 2022/2555, retrieved 10 Oct 2026 (title only)</t>
        </is>
      </c>
      <c r="K47" s="6" t="inlineStr">
        <is>
          <t>https://nachi065.github.io/AI-Security-Wiki/12_EU_AI_Compliance/07_Regulatory_Crosswalk.html</t>
        </is>
      </c>
    </row>
    <row r="48">
      <c r="A48" s="102" t="inlineStr">
        <is>
          <t>EU</t>
        </is>
      </c>
      <c r="B48" s="102" t="inlineStr">
        <is>
          <t>E6</t>
        </is>
      </c>
      <c r="C48" s="102" t="inlineStr">
        <is>
          <t>DORA</t>
        </is>
      </c>
      <c r="D48" s="102" t="inlineStr">
        <is>
          <t>Binding in scope</t>
        </is>
      </c>
      <c r="E48" s="102" t="inlineStr">
        <is>
          <t>Binding for financial entities</t>
        </is>
      </c>
      <c r="F48" s="102" t="inlineStr">
        <is>
          <t>AI-CTRL-014, AI-CTRL-035</t>
        </is>
      </c>
      <c r="G48" s="102" t="inlineStr">
        <is>
          <t>AI-R08, AI-R09, AI-R10, AI-R16, AI-R20</t>
        </is>
      </c>
      <c r="H48" s="102" t="inlineStr">
        <is>
          <t>Reported</t>
        </is>
      </c>
      <c r="I48" s="102" t="inlineStr">
        <is>
          <t>Technical standards</t>
        </is>
      </c>
      <c r="J48" s="102" t="inlineStr">
        <is>
          <t>Regulation (EU) 2022/2554, retrieved 10 Oct 2026 (title only)</t>
        </is>
      </c>
      <c r="K48" s="102" t="inlineStr">
        <is>
          <t>https://nachi065.github.io/AI-Security-Wiki/12_EU_AI_Compliance/07_Regulatory_Crosswalk.html</t>
        </is>
      </c>
    </row>
    <row r="49">
      <c r="A49" s="6" t="inlineStr">
        <is>
          <t>EU</t>
        </is>
      </c>
      <c r="B49" s="6" t="inlineStr">
        <is>
          <t>E7</t>
        </is>
      </c>
      <c r="C49" s="6" t="inlineStr">
        <is>
          <t>Cyber Resilience Act</t>
        </is>
      </c>
      <c r="D49" s="6" t="inlineStr">
        <is>
          <t>Binding law</t>
        </is>
      </c>
      <c r="E49" s="6" t="inlineStr">
        <is>
          <t>Applies from 11 Dec 2027; Art. 14 reporting from 11 Sep 2026; Chapter IV from 11 Jun 2026</t>
        </is>
      </c>
      <c r="F49" s="6" t="inlineStr">
        <is>
          <t>AI-CTRL-005, AI-CTRL-008</t>
        </is>
      </c>
      <c r="G49" s="6" t="inlineStr">
        <is>
          <t>AI-R05, AI-R06, AI-R09, AI-R15, AI-R24, AI-R26</t>
        </is>
      </c>
      <c r="H49" s="6" t="inlineStr">
        <is>
          <t>Verified</t>
        </is>
      </c>
      <c r="I49" s="6" t="inlineStr">
        <is>
          <t>Scope for AI products</t>
        </is>
      </c>
      <c r="J49" s="6" t="inlineStr">
        <is>
          <t>Regulation (EU) 2024/2847, retrieved 10 Oct 2026</t>
        </is>
      </c>
      <c r="K49" s="6" t="inlineStr">
        <is>
          <t>https://nachi065.github.io/AI-Security-Wiki/12_EU_AI_Compliance/07_Regulatory_Crosswalk.html</t>
        </is>
      </c>
    </row>
    <row r="50">
      <c r="A50" s="102" t="inlineStr">
        <is>
          <t>EU</t>
        </is>
      </c>
      <c r="B50" s="102" t="inlineStr">
        <is>
          <t>E8</t>
        </is>
      </c>
      <c r="C50" s="102" t="inlineStr">
        <is>
          <t>Product Liability Directive (new)</t>
        </is>
      </c>
      <c r="D50" s="102" t="inlineStr">
        <is>
          <t>Binding law</t>
        </is>
      </c>
      <c r="E50" s="102" t="inlineStr">
        <is>
          <t>Directive; Member States transpose by 9 Dec 2026; applies to products placed on the market after that date</t>
        </is>
      </c>
      <c r="F50" s="102" t="inlineStr">
        <is>
          <t>AI-CTRL-037</t>
        </is>
      </c>
      <c r="G50" s="102" t="inlineStr">
        <is>
          <t>AI-R02, AI-R18, AI-R28, AI-R55</t>
        </is>
      </c>
      <c r="H50" s="102" t="inlineStr">
        <is>
          <t>Verified</t>
        </is>
      </c>
      <c r="I50" s="102" t="inlineStr">
        <is>
          <t>National transposition</t>
        </is>
      </c>
      <c r="J50" s="102" t="inlineStr">
        <is>
          <t>Directive (EU) 2024/2853, retrieved 10 Oct 2026</t>
        </is>
      </c>
      <c r="K50" s="102" t="inlineStr">
        <is>
          <t>https://nachi065.github.io/AI-Security-Wiki/12_EU_AI_Compliance/07_Regulatory_Crosswalk.html</t>
        </is>
      </c>
    </row>
    <row r="51">
      <c r="A51" s="6" t="inlineStr">
        <is>
          <t>EU</t>
        </is>
      </c>
      <c r="B51" s="6" t="inlineStr">
        <is>
          <t>E9</t>
        </is>
      </c>
      <c r="C51" s="6" t="inlineStr">
        <is>
          <t>Data Act</t>
        </is>
      </c>
      <c r="D51" s="6" t="inlineStr">
        <is>
          <t>Binding law</t>
        </is>
      </c>
      <c r="E51" s="6" t="inlineStr">
        <is>
          <t>Regulation; applies from 12 Sep 2025</t>
        </is>
      </c>
      <c r="F51" s="6" t="inlineStr">
        <is>
          <t>AI-CTRL-007, AI-CTRL-014</t>
        </is>
      </c>
      <c r="G51" s="6" t="inlineStr">
        <is>
          <t>AI-R08, AI-R10, AI-R16</t>
        </is>
      </c>
      <c r="H51" s="6" t="inlineStr">
        <is>
          <t>Verified</t>
        </is>
      </c>
      <c r="I51" s="6" t="inlineStr">
        <is>
          <t>Later dates for Art. 3(1) and Chapter IV</t>
        </is>
      </c>
      <c r="J51" s="6" t="inlineStr">
        <is>
          <t>Regulation (EU) 2023/2854, retrieved 10 Oct 2026</t>
        </is>
      </c>
      <c r="K51" s="6" t="inlineStr">
        <is>
          <t>https://nachi065.github.io/AI-Security-Wiki/12_EU_AI_Compliance/07_Regulatory_Crosswalk.html</t>
        </is>
      </c>
    </row>
    <row r="52">
      <c r="A52" s="102" t="inlineStr">
        <is>
          <t>EU</t>
        </is>
      </c>
      <c r="B52" s="102" t="inlineStr">
        <is>
          <t>E10</t>
        </is>
      </c>
      <c r="C52" s="102" t="inlineStr">
        <is>
          <t>Digital Services Act</t>
        </is>
      </c>
      <c r="D52" s="102" t="inlineStr">
        <is>
          <t>Binding law</t>
        </is>
      </c>
      <c r="E52" s="102" t="inlineStr">
        <is>
          <t>Regulation</t>
        </is>
      </c>
      <c r="F52" s="102" t="inlineStr">
        <is>
          <t>AI-CTRL-039</t>
        </is>
      </c>
      <c r="G52" s="102" t="inlineStr">
        <is>
          <t>AI-R12, AI-R14, AI-R20</t>
        </is>
      </c>
      <c r="H52" s="102" t="inlineStr">
        <is>
          <t>Recalled</t>
        </is>
      </c>
      <c r="I52" s="102" t="inlineStr">
        <is>
          <t>Scope for AI</t>
        </is>
      </c>
      <c r="J52" s="102" t="inlineStr">
        <is>
          <t>Regulation (EU) 2022/2065, retrieved 10 Oct 2026 (title only)</t>
        </is>
      </c>
      <c r="K52" s="102" t="inlineStr">
        <is>
          <t>https://nachi065.github.io/AI-Security-Wiki/12_EU_AI_Compliance/07_Regulatory_Crosswalk.html</t>
        </is>
      </c>
    </row>
    <row r="53">
      <c r="A53" s="6" t="inlineStr">
        <is>
          <t>EU</t>
        </is>
      </c>
      <c r="B53" s="6" t="inlineStr">
        <is>
          <t>E11</t>
        </is>
      </c>
      <c r="C53" s="6" t="inlineStr">
        <is>
          <t>Copyright TDM opt-out</t>
        </is>
      </c>
      <c r="D53" s="6" t="inlineStr">
        <is>
          <t>Binding law</t>
        </is>
      </c>
      <c r="E53" s="6" t="inlineStr">
        <is>
          <t>Directive (EU) 2019/790 Art. 4; transposition was due 7 Jun 2021</t>
        </is>
      </c>
      <c r="F53" s="6" t="inlineStr">
        <is>
          <t>AI-CTRL-029</t>
        </is>
      </c>
      <c r="G53" s="6" t="inlineStr">
        <is>
          <t>AI-R08</t>
        </is>
      </c>
      <c r="H53" s="6" t="inlineStr">
        <is>
          <t>Verified</t>
        </is>
      </c>
      <c r="I53" s="6" t="inlineStr">
        <is>
          <t>National law</t>
        </is>
      </c>
      <c r="J53" s="6" t="inlineStr">
        <is>
          <t>Directive (EU) 2019/790, retrieved 10 Oct 2026</t>
        </is>
      </c>
      <c r="K53" s="6" t="inlineStr">
        <is>
          <t>https://nachi065.github.io/AI-Security-Wiki/12_EU_AI_Compliance/07_Regulatory_Crosswalk.html</t>
        </is>
      </c>
    </row>
    <row r="54">
      <c r="A54" s="102" t="inlineStr">
        <is>
          <t>EU</t>
        </is>
      </c>
      <c r="B54" s="102" t="inlineStr">
        <is>
          <t>E12</t>
        </is>
      </c>
      <c r="C54" s="102" t="inlineStr">
        <is>
          <t>Commission guidelines: prohibited practices</t>
        </is>
      </c>
      <c r="D54" s="102" t="inlineStr">
        <is>
          <t>Guidance</t>
        </is>
      </c>
      <c r="E54" s="102" t="inlineStr">
        <is>
          <t>Guidance; published 4 Feb 2025</t>
        </is>
      </c>
      <c r="F54" s="102" t="inlineStr">
        <is>
          <t>AI-CTRL-012</t>
        </is>
      </c>
      <c r="G54" s="102" t="inlineStr">
        <is>
          <t>AI-R02, AI-R03, AI-R18, AI-R19, AI-R27, AI-R28</t>
        </is>
      </c>
      <c r="H54" s="102" t="inlineStr">
        <is>
          <t>Verified</t>
        </is>
      </c>
      <c r="I54" s="102" t="inlineStr">
        <is>
          <t>Content</t>
        </is>
      </c>
      <c r="J54" s="102" t="inlineStr">
        <is>
          <t>Commission notice of publication, retrieved 10 Oct 2026</t>
        </is>
      </c>
      <c r="K54" s="102" t="inlineStr">
        <is>
          <t>https://nachi065.github.io/AI-Security-Wiki/12_EU_AI_Compliance/07_Regulatory_Crosswalk.html</t>
        </is>
      </c>
    </row>
    <row r="55">
      <c r="A55" s="6" t="inlineStr">
        <is>
          <t>EU</t>
        </is>
      </c>
      <c r="B55" s="6" t="inlineStr">
        <is>
          <t>E13</t>
        </is>
      </c>
      <c r="C55" s="6" t="inlineStr">
        <is>
          <t>Commission guidelines: GPAI</t>
        </is>
      </c>
      <c r="D55" s="6" t="inlineStr">
        <is>
          <t>Guidance</t>
        </is>
      </c>
      <c r="E55" s="6" t="inlineStr">
        <is>
          <t>Guidance (10 Jul 2025)</t>
        </is>
      </c>
      <c r="F55" s="6" t="inlineStr">
        <is>
          <t>AI-CTRL-014</t>
        </is>
      </c>
      <c r="G55" s="6" t="inlineStr">
        <is>
          <t>AI-R08, AI-R10, AI-R16</t>
        </is>
      </c>
      <c r="H55" s="6" t="inlineStr">
        <is>
          <t>Reported</t>
        </is>
      </c>
      <c r="I55" s="6" t="inlineStr">
        <is>
          <t>Content; date (the Commission page shows none, and gives 10 Jul 2025 for the Code of Practice in E15)</t>
        </is>
      </c>
      <c r="J55" s="6" t="inlineStr">
        <is>
          <t>Commission page on the GPAI guidelines, retrieved 10 Oct 2026 (title only)</t>
        </is>
      </c>
      <c r="K55" s="6" t="inlineStr">
        <is>
          <t>https://nachi065.github.io/AI-Security-Wiki/12_EU_AI_Compliance/07_Regulatory_Crosswalk.html</t>
        </is>
      </c>
    </row>
    <row r="56">
      <c r="A56" s="102" t="inlineStr">
        <is>
          <t>EU</t>
        </is>
      </c>
      <c r="B56" s="102" t="inlineStr">
        <is>
          <t>E14</t>
        </is>
      </c>
      <c r="C56" s="102" t="inlineStr">
        <is>
          <t>Commission draft guidelines: high-risk classification</t>
        </is>
      </c>
      <c r="D56" s="102" t="inlineStr">
        <is>
          <t>Proposed</t>
        </is>
      </c>
      <c r="E56" s="102" t="inlineStr">
        <is>
          <t>Draft 19 May 2026; consultation closed 23 Jul 2026</t>
        </is>
      </c>
      <c r="F56" s="102" t="inlineStr">
        <is>
          <t>AI-CTRL-011</t>
        </is>
      </c>
      <c r="G56" s="102" t="inlineStr">
        <is>
          <t>AI-R02, AI-R18</t>
        </is>
      </c>
      <c r="H56" s="102" t="inlineStr">
        <is>
          <t>Verified</t>
        </is>
      </c>
      <c r="I56" s="102" t="inlineStr">
        <is>
          <t>Final adoption</t>
        </is>
      </c>
      <c r="J56" s="102" t="inlineStr">
        <is>
          <t>Draft guidelines; Commission page on the high-risk guidelines, retrieved 24 Oct 2026 (still a draft; page updated 19 Oct 2026)</t>
        </is>
      </c>
      <c r="K56" s="102" t="inlineStr">
        <is>
          <t>https://nachi065.github.io/AI-Security-Wiki/12_EU_AI_Compliance/07_Regulatory_Crosswalk.html</t>
        </is>
      </c>
    </row>
    <row r="57">
      <c r="A57" s="6" t="inlineStr">
        <is>
          <t>EU</t>
        </is>
      </c>
      <c r="B57" s="6" t="inlineStr">
        <is>
          <t>E15</t>
        </is>
      </c>
      <c r="C57" s="6" t="inlineStr">
        <is>
          <t>GPAI Code of Practice</t>
        </is>
      </c>
      <c r="D57" s="6" t="inlineStr">
        <is>
          <t>Voluntary</t>
        </is>
      </c>
      <c r="E57" s="6" t="inlineStr">
        <is>
          <t>Voluntary; published 10 Jul 2025</t>
        </is>
      </c>
      <c r="F57" s="6" t="inlineStr">
        <is>
          <t>AI-CTRL-014</t>
        </is>
      </c>
      <c r="G57" s="6" t="inlineStr">
        <is>
          <t>AI-R08, AI-R10, AI-R16</t>
        </is>
      </c>
      <c r="H57" s="6" t="inlineStr">
        <is>
          <t>Verified</t>
        </is>
      </c>
      <c r="I57" s="6" t="inlineStr">
        <is>
          <t>Signatory list</t>
        </is>
      </c>
      <c r="J57" s="6" t="inlineStr">
        <is>
          <t>Commission page on the Code of Practice, retrieved 10 Oct 2026</t>
        </is>
      </c>
      <c r="K57" s="6" t="inlineStr">
        <is>
          <t>https://nachi065.github.io/AI-Security-Wiki/12_EU_AI_Compliance/07_Regulatory_Crosswalk.html</t>
        </is>
      </c>
    </row>
    <row r="58">
      <c r="A58" s="102" t="inlineStr">
        <is>
          <t>EU</t>
        </is>
      </c>
      <c r="B58" s="102" t="inlineStr">
        <is>
          <t>E16</t>
        </is>
      </c>
      <c r="C58" s="102" t="inlineStr">
        <is>
          <t>Code of Practice on marking and labelling AI content</t>
        </is>
      </c>
      <c r="D58" s="102" t="inlineStr">
        <is>
          <t>Voluntary</t>
        </is>
      </c>
      <c r="E58" s="102" t="inlineStr">
        <is>
          <t>Voluntary; final 10 Jun 2026</t>
        </is>
      </c>
      <c r="F58" s="102" t="inlineStr">
        <is>
          <t>AI-CTRL-039</t>
        </is>
      </c>
      <c r="G58" s="102" t="inlineStr">
        <is>
          <t>AI-R12, AI-R14, AI-R20</t>
        </is>
      </c>
      <c r="H58" s="102" t="inlineStr">
        <is>
          <t>Reported</t>
        </is>
      </c>
      <c r="I58" s="102" t="inlineStr">
        <is>
          <t>Adequacy assessment</t>
        </is>
      </c>
      <c r="J58" s="102" t="inlineStr"/>
      <c r="K58" s="102" t="inlineStr">
        <is>
          <t>https://nachi065.github.io/AI-Security-Wiki/12_EU_AI_Compliance/07_Regulatory_Crosswalk.html</t>
        </is>
      </c>
    </row>
    <row r="59">
      <c r="A59" s="6" t="inlineStr">
        <is>
          <t>EU</t>
        </is>
      </c>
      <c r="B59" s="6" t="inlineStr">
        <is>
          <t>E17</t>
        </is>
      </c>
      <c r="C59" s="6" t="inlineStr">
        <is>
          <t>CEN-CENELEC JTC 21 standards (EN 18286:2026; prEN 18228, 18229, 18282, 18284)</t>
        </is>
      </c>
      <c r="D59" s="6" t="inlineStr">
        <is>
          <t>Voluntary</t>
        </is>
      </c>
      <c r="E59" s="6" t="inlineStr">
        <is>
          <t>EN 18286 approved 12 Jul 2026, OJ citation pending; others draft</t>
        </is>
      </c>
      <c r="F59" s="6" t="inlineStr">
        <is>
          <t>AI-CTRL-005, AI-CTRL-012, AI-CTRL-013, AI-CTRL-037</t>
        </is>
      </c>
      <c r="G59" s="6" t="inlineStr">
        <is>
          <t>AI-R02, AI-R03, AI-R05, AI-R06, AI-R10, AI-R18, AI-R19, AI-R24, AI-R27, AI-R28, AI-R55</t>
        </is>
      </c>
      <c r="H59" s="6" t="inlineStr">
        <is>
          <t>Reported</t>
        </is>
      </c>
      <c r="I59" s="6" t="inlineStr">
        <is>
          <t>Numbers; status</t>
        </is>
      </c>
      <c r="J59" s="6" t="inlineStr"/>
      <c r="K59" s="6" t="inlineStr">
        <is>
          <t>https://nachi065.github.io/AI-Security-Wiki/12_EU_AI_Compliance/07_Regulatory_Crosswalk.html</t>
        </is>
      </c>
    </row>
    <row r="60">
      <c r="A60" s="102" t="inlineStr">
        <is>
          <t>EU</t>
        </is>
      </c>
      <c r="B60" s="102" t="inlineStr">
        <is>
          <t>E18</t>
        </is>
      </c>
      <c r="C60" s="102" t="inlineStr">
        <is>
          <t>ISO/IEC 42001</t>
        </is>
      </c>
      <c r="D60" s="102" t="inlineStr">
        <is>
          <t>Voluntary</t>
        </is>
      </c>
      <c r="E60" s="102" t="inlineStr">
        <is>
          <t>Voluntary standard</t>
        </is>
      </c>
      <c r="F60" s="102" t="inlineStr">
        <is>
          <t>None</t>
        </is>
      </c>
      <c r="G60" s="102" t="inlineStr">
        <is>
          <t>None</t>
        </is>
      </c>
      <c r="H60" s="102" t="inlineStr">
        <is>
          <t>Recalled</t>
        </is>
      </c>
      <c r="I60" s="102" t="inlineStr">
        <is>
          <t>Not harmonised</t>
        </is>
      </c>
      <c r="J60" s="102" t="inlineStr"/>
      <c r="K60" s="102" t="inlineStr">
        <is>
          <t>https://nachi065.github.io/AI-Security-Wiki/12_EU_AI_Compliance/07_Regulatory_Crosswalk.html</t>
        </is>
      </c>
    </row>
    <row r="61">
      <c r="A61" s="6" t="inlineStr">
        <is>
          <t>Australia</t>
        </is>
      </c>
      <c r="B61" s="6" t="inlineStr">
        <is>
          <t>AU1</t>
        </is>
      </c>
      <c r="C61" s="6" t="inlineStr">
        <is>
          <t>National AI Plan (Dec 2025)</t>
        </is>
      </c>
      <c r="D61" s="6" t="inlineStr">
        <is>
          <t>Context</t>
        </is>
      </c>
      <c r="E61" s="6" t="inlineStr">
        <is>
          <t>Policy</t>
        </is>
      </c>
      <c r="F61" s="6" t="inlineStr">
        <is>
          <t>AI-CTRL-012</t>
        </is>
      </c>
      <c r="G61" s="6" t="inlineStr">
        <is>
          <t>AI-R02, AI-R03, AI-R18, AI-R19, AI-R27, AI-R28</t>
        </is>
      </c>
      <c r="H61" s="6" t="inlineStr">
        <is>
          <t>Reported</t>
        </is>
      </c>
      <c r="I61" s="6" t="inlineStr">
        <is>
          <t>Text</t>
        </is>
      </c>
      <c r="J61" s="6" t="inlineStr"/>
      <c r="K61" s="6" t="inlineStr">
        <is>
          <t>https://nachi065.github.io/AI-Security-Wiki/13_Australia_AI_Compliance/03_Regulatory_Crosswalk.html</t>
        </is>
      </c>
    </row>
    <row r="62">
      <c r="A62" s="102" t="inlineStr">
        <is>
          <t>Australia</t>
        </is>
      </c>
      <c r="B62" s="102" t="inlineStr">
        <is>
          <t>AU2</t>
        </is>
      </c>
      <c r="C62" s="102" t="inlineStr">
        <is>
          <t>Privacy Act automated decision transparency (APP 1.7 to 1.9)</t>
        </is>
      </c>
      <c r="D62" s="102" t="inlineStr">
        <is>
          <t>Binding law</t>
        </is>
      </c>
      <c r="E62" s="102" t="inlineStr">
        <is>
          <t>Binding; commences 10 Dec 2026 (OAIC statement, Allens)</t>
        </is>
      </c>
      <c r="F62" s="102" t="inlineStr">
        <is>
          <t>AI-CTRL-013, AI-CTRL-039, AI-CTRL-041</t>
        </is>
      </c>
      <c r="G62" s="102" t="inlineStr">
        <is>
          <t>AI-R03, AI-R10, AI-R12, AI-R14, AI-R15, AI-R20, AI-R27, AI-R28</t>
        </is>
      </c>
      <c r="H62" s="102" t="inlineStr">
        <is>
          <t>Verified</t>
        </is>
      </c>
      <c r="I62" s="102" t="inlineStr">
        <is>
          <t>Consolidated Privacy Act compilation (the PDF could not be retrieved)</t>
        </is>
      </c>
      <c r="J62" s="102" t="inlineStr">
        <is>
          <t>Privacy and Other Legislation Amendment Act 2024 (No. 128, 2024), as made, Sch 1 Part 15; OAIC: new resources on transparency for use of AI and automated decision-making (30 Sep 2026); OAIC: APP guidelines, chapter 1, retrieved 22 Oct 2026 (Part 15 commences 24 months after Royal Assent, shown in the Act as 10 December 2026; the OAIC still gives that date)</t>
        </is>
      </c>
      <c r="K62" s="102" t="inlineStr">
        <is>
          <t>https://nachi065.github.io/AI-Security-Wiki/13_Australia_AI_Compliance/03_Regulatory_Crosswalk.html</t>
        </is>
      </c>
    </row>
    <row r="63">
      <c r="A63" s="6" t="inlineStr">
        <is>
          <t>Australia</t>
        </is>
      </c>
      <c r="B63" s="6" t="inlineStr">
        <is>
          <t>AU3</t>
        </is>
      </c>
      <c r="C63" s="6" t="inlineStr">
        <is>
          <t>OAIC privacy policy compliance sweep</t>
        </is>
      </c>
      <c r="D63" s="6" t="inlineStr">
        <is>
          <t>Context</t>
        </is>
      </c>
      <c r="E63" s="6" t="inlineStr">
        <is>
          <t>Regulator action; began first week of Jan 2026</t>
        </is>
      </c>
      <c r="F63" s="6" t="inlineStr">
        <is>
          <t>AI-CTRL-013, AI-CTRL-035</t>
        </is>
      </c>
      <c r="G63" s="6" t="inlineStr">
        <is>
          <t>AI-R03, AI-R09, AI-R10, AI-R20, AI-R27, AI-R28</t>
        </is>
      </c>
      <c r="H63" s="6" t="inlineStr">
        <is>
          <t>Verified</t>
        </is>
      </c>
      <c r="I63" s="6" t="inlineStr">
        <is>
          <t>A formal OAIC outcomes report (none found); no AI-specific sweep found</t>
        </is>
      </c>
      <c r="J63" s="6" t="inlineStr">
        <is>
          <t>OAIC: privacy compliance sweep to put privacy policies under the spotlight (9 Dec 2025); OAIC: Privacy Awareness Week 2026 IAPP keynote, retrieved 22 Oct 2026 (the sweep covered about 60 entities in six sectors against APP 1.4; the keynote says non-compliance was found in a significant proportion)</t>
        </is>
      </c>
      <c r="K63" s="6" t="inlineStr">
        <is>
          <t>https://nachi065.github.io/AI-Security-Wiki/13_Australia_AI_Compliance/03_Regulatory_Crosswalk.html</t>
        </is>
      </c>
    </row>
    <row r="64">
      <c r="A64" s="102" t="inlineStr">
        <is>
          <t>Australia</t>
        </is>
      </c>
      <c r="B64" s="102" t="inlineStr">
        <is>
          <t>AU3a</t>
        </is>
      </c>
      <c r="C64" s="102" t="inlineStr">
        <is>
          <t>Privacy Act civil penalty tiers</t>
        </is>
      </c>
      <c r="D64" s="102" t="inlineStr">
        <is>
          <t>Binding law</t>
        </is>
      </c>
      <c r="E64" s="102" t="inlineStr">
        <is>
          <t>Binding; three tiers: serious interference (s 13G), interference (s 13H) and infringement notices (s 13K). From 10 Dec 2026 a breach of APP 1.7 is added to the s 13K list</t>
        </is>
      </c>
      <c r="F64" s="102" t="inlineStr">
        <is>
          <t>AI-CTRL-013, AI-CTRL-035</t>
        </is>
      </c>
      <c r="G64" s="102" t="inlineStr">
        <is>
          <t>AI-R03, AI-R09, AI-R10, AI-R20, AI-R27, AI-R28</t>
        </is>
      </c>
      <c r="H64" s="102" t="inlineStr">
        <is>
          <t>Verified</t>
        </is>
      </c>
      <c r="I64" s="102" t="inlineStr">
        <is>
          <t>Current compiled text of s 13G and s 13H (the 2024 Act changed "greater" to "greatest"); whether s 13G or s 13H could also apply to an APP 1.7 to 1.9 breach</t>
        </is>
      </c>
      <c r="J64" s="102" t="inlineStr">
        <is>
          <t>Privacy and Other Legislation Amendment Act 2024, as made, Sch 1 Part 15 item 87; OAIC: Guide to privacy regulatory action, chapter 7; OAIC: infringement notices, retrieved 22 Oct 2026 (s 13G: individuals up to $2.5 million; bodies corporate the greater of $50 million, three times the benefit or 30% of adjusted turnover (OAIC guide); infringement notices 12 penalty units for individuals and 60 for bodies corporate (OAIC, 22 Sep 2026))</t>
        </is>
      </c>
      <c r="K64" s="102" t="inlineStr">
        <is>
          <t>https://nachi065.github.io/AI-Security-Wiki/13_Australia_AI_Compliance/03_Regulatory_Crosswalk.html</t>
        </is>
      </c>
    </row>
    <row r="65">
      <c r="A65" s="6" t="inlineStr">
        <is>
          <t>Australia</t>
        </is>
      </c>
      <c r="B65" s="6" t="inlineStr">
        <is>
          <t>AU4</t>
        </is>
      </c>
      <c r="C65" s="6" t="inlineStr">
        <is>
          <t>Guidance for AI Adoption (National AI Centre, 21 Oct 2025; replaces the Voluntary AI Safety Standard)</t>
        </is>
      </c>
      <c r="D65" s="6" t="inlineStr">
        <is>
          <t>Voluntary</t>
        </is>
      </c>
      <c r="E65" s="6" t="inlineStr">
        <is>
          <t>Voluntary</t>
        </is>
      </c>
      <c r="F65" s="6" t="inlineStr">
        <is>
          <t>AI-CTRL-012, AI-CTRL-023, AI-CTRL-037</t>
        </is>
      </c>
      <c r="G65" s="6" t="inlineStr">
        <is>
          <t>AI-R02, AI-R03, AI-R07, AI-R18, AI-R19, AI-R27, AI-R28, AI-R55</t>
        </is>
      </c>
      <c r="H65" s="6" t="inlineStr">
        <is>
          <t>Verified</t>
        </is>
      </c>
      <c r="I65" s="6" t="inlineStr">
        <is>
          <t>The guidance does not itself use the word voluntary; the label is this wiki's reading</t>
        </is>
      </c>
      <c r="J65" s="6" t="inlineStr">
        <is>
          <t>DISR: Guidance for AI Adoption; DISR: Guidance for AI Adoption, Foundations; DISR: Voluntary AI Safety Standard, retrieved 22 Oct 2026 (six practices: decide who is accountable; understand impacts and plan accordingly; measure and manage risks; share essential information; test and monitor; maintain human control)</t>
        </is>
      </c>
      <c r="K65" s="6" t="inlineStr">
        <is>
          <t>https://nachi065.github.io/AI-Security-Wiki/13_Australia_AI_Compliance/03_Regulatory_Crosswalk.html</t>
        </is>
      </c>
    </row>
    <row r="66">
      <c r="A66" s="102" t="inlineStr">
        <is>
          <t>Australia</t>
        </is>
      </c>
      <c r="B66" s="102" t="inlineStr">
        <is>
          <t>AU5</t>
        </is>
      </c>
      <c r="C66" s="102" t="inlineStr">
        <is>
          <t>AI Safety Institute (early 2026; AUD 29.9M)</t>
        </is>
      </c>
      <c r="D66" s="102" t="inlineStr">
        <is>
          <t>Context</t>
        </is>
      </c>
      <c r="E66" s="102" t="inlineStr">
        <is>
          <t>Government body</t>
        </is>
      </c>
      <c r="F66" s="102" t="inlineStr">
        <is>
          <t>None</t>
        </is>
      </c>
      <c r="G66" s="102" t="inlineStr">
        <is>
          <t>None</t>
        </is>
      </c>
      <c r="H66" s="102" t="inlineStr">
        <is>
          <t>Verified</t>
        </is>
      </c>
      <c r="I66" s="102" t="inlineStr">
        <is>
          <t>Exact launch date (the institute page and its establishment release refused automated retrieval)</t>
        </is>
      </c>
      <c r="J66" s="102" t="inlineStr">
        <is>
          <t>Minister for Industry: National AI Plan: Empowering all Australians; DISR: Corporate Plan 2026-30, retrieved 22 Oct 2026 (the release gives early 2026 and $29.9 million; the corporate plan calls the institute newly established)</t>
        </is>
      </c>
      <c r="K66" s="102" t="inlineStr">
        <is>
          <t>https://nachi065.github.io/AI-Security-Wiki/13_Australia_AI_Compliance/03_Regulatory_Crosswalk.html</t>
        </is>
      </c>
    </row>
    <row r="67">
      <c r="A67" s="6" t="inlineStr">
        <is>
          <t>Australia</t>
        </is>
      </c>
      <c r="B67" s="6" t="inlineStr">
        <is>
          <t>AU6</t>
        </is>
      </c>
      <c r="C67" s="6" t="inlineStr">
        <is>
          <t>Further deepfake and "nudify" app restrictions; Victoria considering</t>
        </is>
      </c>
      <c r="D67" s="6" t="inlineStr">
        <is>
          <t>Proposed</t>
        </is>
      </c>
      <c r="E67" s="6" t="inlineStr">
        <is>
          <t>Under consideration; no bill found as at 22 Oct 2026. Deepfake sexual material offences already exist under the Criminal Code Amendment (Deepfake Sexual Material) Act 2024 (No. 78, 2024)</t>
        </is>
      </c>
      <c r="F67" s="6" t="inlineStr">
        <is>
          <t>AI-CTRL-039, AI-CTRL-041</t>
        </is>
      </c>
      <c r="G67" s="6" t="inlineStr">
        <is>
          <t>AI-R12, AI-R14, AI-R15, AI-R20</t>
        </is>
      </c>
      <c r="H67" s="6" t="inlineStr">
        <is>
          <t>Reported</t>
        </is>
      </c>
      <c r="I67" s="6" t="inlineStr">
        <is>
          <t>Victoria status; commencement and offence text of the 2024 Act</t>
        </is>
      </c>
      <c r="J67" s="6" t="inlineStr">
        <is>
          <t>Federal Register of Legislation: Criminal Code Amendment (Deepfake Sexual Material) Act 2024, as made; DISR: National AI Plan, Keep Australians safe, retrieved 22 Oct 2026 (the Plan says non-consensual deepfake material is already a crime and that further restrictions on nudify apps are being considered; the NSW bill formerly in this row is now AU6a)</t>
        </is>
      </c>
      <c r="K67" s="6" t="inlineStr">
        <is>
          <t>https://nachi065.github.io/AI-Security-Wiki/13_Australia_AI_Compliance/03_Regulatory_Crosswalk.html</t>
        </is>
      </c>
    </row>
    <row r="68">
      <c r="A68" s="102" t="inlineStr">
        <is>
          <t>Australia</t>
        </is>
      </c>
      <c r="B68" s="102" t="inlineStr">
        <is>
          <t>AU6a</t>
        </is>
      </c>
      <c r="C68" s="102" t="inlineStr">
        <is>
          <t>NSW Work Health and Safety Amendment (Digital Work Systems) Act 2026 (No. 5 of 2026)</t>
        </is>
      </c>
      <c r="D68" s="102" t="inlineStr">
        <is>
          <t>Binding in scope</t>
        </is>
      </c>
      <c r="E68" s="102" t="inlineStr">
        <is>
          <t>Binding in NSW; passed 12 Feb 2026, assented 18 Feb 2026</t>
        </is>
      </c>
      <c r="F68" s="102" t="inlineStr">
        <is>
          <t>AI-CTRL-039, AI-CTRL-041</t>
        </is>
      </c>
      <c r="G68" s="102" t="inlineStr">
        <is>
          <t>AI-R12, AI-R14, AI-R15, AI-R20</t>
        </is>
      </c>
      <c r="H68" s="102" t="inlineStr">
        <is>
          <t>Verified</t>
        </is>
      </c>
      <c r="I68" s="102" t="inlineStr">
        <is>
          <t>Commencement date and section text (the bill PDF and the NSW legislation site could not be read automatically)</t>
        </is>
      </c>
      <c r="J68" s="102" t="inlineStr">
        <is>
          <t>Parliament of NSW: Work Health and Safety Amendment (Digital Work Systems) Bill 2025, retrieved 22 Oct 2026 (introduced 19 Nov 2025; passed with amendments; Act No. 5 of 2026)</t>
        </is>
      </c>
      <c r="K68" s="102" t="inlineStr">
        <is>
          <t>https://nachi065.github.io/AI-Security-Wiki/13_Australia_AI_Compliance/03_Regulatory_Crosswalk.html</t>
        </is>
      </c>
    </row>
    <row r="69">
      <c r="A69" s="6" t="inlineStr">
        <is>
          <t>Australia</t>
        </is>
      </c>
      <c r="B69" s="6" t="inlineStr">
        <is>
          <t>AU7</t>
        </is>
      </c>
      <c r="C69" s="6" t="inlineStr">
        <is>
          <t>Australian Consumer Law</t>
        </is>
      </c>
      <c r="D69" s="6" t="inlineStr">
        <is>
          <t>Binding law</t>
        </is>
      </c>
      <c r="E69" s="6" t="inlineStr">
        <is>
          <t>Binding. Treasury's Review of AI and the ACL (final report 3 Oct 2025) found the ACL can generally handle AI; ACCC AI industry snapshot (Dec 2025)</t>
        </is>
      </c>
      <c r="F69" s="6" t="inlineStr">
        <is>
          <t>AI-CTRL-012</t>
        </is>
      </c>
      <c r="G69" s="6" t="inlineStr">
        <is>
          <t>AI-R02, AI-R03, AI-R18, AI-R19, AI-R27, AI-R28</t>
        </is>
      </c>
      <c r="H69" s="6" t="inlineStr">
        <is>
          <t>Reported</t>
        </is>
      </c>
      <c r="I69" s="6" t="inlineStr">
        <is>
          <t>ACL text; no ACCC guidance specific to AI found</t>
        </is>
      </c>
      <c r="J69" s="6" t="inlineStr">
        <is>
          <t>Treasury: Review of AI and the Australian Consumer Law, final report; ACCC: Recent developments in AI, industry snapshot, retrieved 22 Oct 2026 (the ACL text itself was not read)</t>
        </is>
      </c>
      <c r="K69" s="6" t="inlineStr">
        <is>
          <t>https://nachi065.github.io/AI-Security-Wiki/13_Australia_AI_Compliance/03_Regulatory_Crosswalk.html</t>
        </is>
      </c>
    </row>
    <row r="70">
      <c r="A70" s="102" t="inlineStr">
        <is>
          <t>Australia</t>
        </is>
      </c>
      <c r="B70" s="102" t="inlineStr">
        <is>
          <t>AU8</t>
        </is>
      </c>
      <c r="C70" s="102" t="inlineStr">
        <is>
          <t>APRA CPS 230 and CPS 234</t>
        </is>
      </c>
      <c r="D70" s="102" t="inlineStr">
        <is>
          <t>Binding in scope</t>
        </is>
      </c>
      <c r="E70" s="102" t="inlineStr">
        <is>
          <t>Binding for regulated entities; amended CPS 230 (Determination No. 1 of 2026) commenced 1 Jul 2026. APRA Letter to Industry on AI (30 Apr 2026) says existing prudential standards apply to AI risk</t>
        </is>
      </c>
      <c r="F70" s="102" t="inlineStr">
        <is>
          <t>AI-CTRL-005, AI-CTRL-014, AI-CTRL-035</t>
        </is>
      </c>
      <c r="G70" s="102" t="inlineStr">
        <is>
          <t>AI-R05, AI-R06, AI-R08, AI-R09, AI-R10, AI-R16, AI-R20, AI-R24</t>
        </is>
      </c>
      <c r="H70" s="102" t="inlineStr">
        <is>
          <t>Reported</t>
        </is>
      </c>
      <c r="I70" s="102" t="inlineStr">
        <is>
          <t>CPS 234 text; the AI letter does not name CPS 230 or CPS 234</t>
        </is>
      </c>
      <c r="J70" s="102" t="inlineStr">
        <is>
          <t>APRA: CPS 230 Operational Risk Management; APRA: targeted amendments to CPS 230 finalised; APRA: Letter to Industry on artificial intelligence, retrieved 22 Oct 2026 (CPS 230 and the AI letter were read; CPS 234 was not, so the row moves from Recalled to Reported, not Verified)</t>
        </is>
      </c>
      <c r="K70" s="102" t="inlineStr">
        <is>
          <t>https://nachi065.github.io/AI-Security-Wiki/13_Australia_AI_Compliance/03_Regulatory_Crosswalk.html</t>
        </is>
      </c>
    </row>
    <row r="71">
      <c r="A71" s="6" t="inlineStr">
        <is>
          <t>Brazil</t>
        </is>
      </c>
      <c r="B71" s="6" t="inlineStr">
        <is>
          <t>BR1</t>
        </is>
      </c>
      <c r="C71" s="6" t="inlineStr">
        <is>
          <t>PL 2338/2023 (AI bill)</t>
        </is>
      </c>
      <c r="D71" s="6" t="inlineStr">
        <is>
          <t>Proposed</t>
        </is>
      </c>
      <c r="E71" s="6" t="inlineStr">
        <is>
          <t>Pending; Senate approved 10 Dec 2024; awaiting committee opinion in the Chamber as at 2 Sep 2026</t>
        </is>
      </c>
      <c r="F71" s="6" t="inlineStr">
        <is>
          <t>AI-CTRL-011, AI-CTRL-037, AI-CTRL-041</t>
        </is>
      </c>
      <c r="G71" s="6" t="inlineStr">
        <is>
          <t>AI-R02, AI-R12, AI-R14, AI-R15, AI-R18, AI-R28, AI-R55</t>
        </is>
      </c>
      <c r="H71" s="6" t="inlineStr">
        <is>
          <t>Verified</t>
        </is>
      </c>
      <c r="I71" s="6" t="inlineStr">
        <is>
          <t>Chamber text, once the rapporteur files an opinion</t>
        </is>
      </c>
      <c r="J71" s="6" t="inlineStr">
        <is>
          <t>Senado Federal: PL 2338/2023 record; Camara dos Deputados: PL 2338/2023 tramitacao, retrieved 22 Oct 2026 (Senate approved the substitute on 10 Dec 2024; the Chamber page shows "Aguardando Parecer do(a) Relator(a) na Comissao Especial", no amendments and no entry after 2 Sep 2026)</t>
        </is>
      </c>
      <c r="K71" s="6" t="inlineStr">
        <is>
          <t>https://nachi065.github.io/AI-Security-Wiki/14_Brazil_AI_Compliance/03_Regulatory_Crosswalk.html</t>
        </is>
      </c>
    </row>
    <row r="72">
      <c r="A72" s="102" t="inlineStr">
        <is>
          <t>Brazil</t>
        </is>
      </c>
      <c r="B72" s="102" t="inlineStr">
        <is>
          <t>BR2</t>
        </is>
      </c>
      <c r="C72" s="102" t="inlineStr">
        <is>
          <t>LGPD (Law 13.709/2018)</t>
        </is>
      </c>
      <c r="D72" s="102" t="inlineStr">
        <is>
          <t>Binding law</t>
        </is>
      </c>
      <c r="E72" s="102" t="inlineStr">
        <is>
          <t>Binding. Lei 15.352/2026 (25 Feb 2026) made the ANPD a special-regime agency (Agencia Nacional de Protecao de Dados) linked to the Ministry of Justice; Art. 20 not amended</t>
        </is>
      </c>
      <c r="F72" s="102" t="inlineStr">
        <is>
          <t>AI-CTRL-007, AI-CTRL-013, AI-CTRL-017, AI-CTRL-035</t>
        </is>
      </c>
      <c r="G72" s="102" t="inlineStr">
        <is>
          <t>AI-R01, AI-R03, AI-R06, AI-R09, AI-R10, AI-R17, AI-R20, AI-R27, AI-R28</t>
        </is>
      </c>
      <c r="H72" s="102" t="inlineStr">
        <is>
          <t>Recalled</t>
        </is>
      </c>
      <c r="I72" s="102" t="inlineStr">
        <is>
          <t>LGPD text and Art. 20 wording (the planalto LGPD page could not be read automatically); ANPD rules on Art. 20</t>
        </is>
      </c>
      <c r="J72" s="102" t="inlineStr">
        <is>
          <t>Planalto: Lei 15.352 de 25 de fevereiro de 2026, retrieved 22 Oct 2026 (the amending law was read; the LGPD itself was not, so the tag stays Recalled)</t>
        </is>
      </c>
      <c r="K72" s="102" t="inlineStr">
        <is>
          <t>https://nachi065.github.io/AI-Security-Wiki/14_Brazil_AI_Compliance/03_Regulatory_Crosswalk.html</t>
        </is>
      </c>
    </row>
    <row r="73">
      <c r="A73" s="6" t="inlineStr">
        <is>
          <t>Brazil</t>
        </is>
      </c>
      <c r="B73" s="6" t="inlineStr">
        <is>
          <t>BR3</t>
        </is>
      </c>
      <c r="C73" s="6" t="inlineStr">
        <is>
          <t>ANPD and sector regulators advancing AI regulation</t>
        </is>
      </c>
      <c r="D73" s="6" t="inlineStr">
        <is>
          <t>Context</t>
        </is>
      </c>
      <c r="E73" s="6" t="inlineStr">
        <is>
          <t>Regulator activity. ANPD: AI and data protection regulatory sandbox (testing methodology 19 Aug 2026); AI a priority theme for 2026-27 (Resolucao CD/ANPD 30/2025); enforces duties of language-model and chatbot providers towards minors (Decreto 12.880/2026, Art. 11)</t>
        </is>
      </c>
      <c r="F73" s="6" t="inlineStr">
        <is>
          <t>AI-CTRL-012, AI-CTRL-013</t>
        </is>
      </c>
      <c r="G73" s="6" t="inlineStr">
        <is>
          <t>AI-R02, AI-R03, AI-R10, AI-R18, AI-R19, AI-R27, AI-R28</t>
        </is>
      </c>
      <c r="H73" s="6" t="inlineStr">
        <is>
          <t>Verified</t>
        </is>
      </c>
      <c r="I73" s="6" t="inlineStr">
        <is>
          <t>Sector regulators (no primary BCB or CMN AI rule found); Lei 15.487/2026 (AI and sexual violence against children) not read</t>
        </is>
      </c>
      <c r="J73" s="6" t="inlineStr">
        <is>
          <t>ANPD: Mapa de Temas Prioritarios 2026-2027 (24 Dec 2025); ANPD: sandbox testing methodology (19 Aug 2026); Planalto: Decreto 12.880 de 18 de marco de 2026, retrieved 22 Oct 2026</t>
        </is>
      </c>
      <c r="K73" s="6" t="inlineStr">
        <is>
          <t>https://nachi065.github.io/AI-Security-Wiki/14_Brazil_AI_Compliance/03_Regulatory_Crosswalk.html</t>
        </is>
      </c>
    </row>
    <row r="74">
      <c r="A74" s="102" t="inlineStr">
        <is>
          <t>Brazil</t>
        </is>
      </c>
      <c r="B74" s="102" t="inlineStr">
        <is>
          <t>BR4</t>
        </is>
      </c>
      <c r="C74" s="102" t="inlineStr">
        <is>
          <t>Consumer Defence Code and sector rules (finance, health)</t>
        </is>
      </c>
      <c r="D74" s="102" t="inlineStr">
        <is>
          <t>Binding law</t>
        </is>
      </c>
      <c r="E74" s="102" t="inlineStr">
        <is>
          <t>Binding. Decreto 13.135/2026 (customer service, published 13 Oct 2026, in force 2 Nov 2026 under Art. 25) allows automated and AI systems only if the consumer can choose real-time service by a person (Art. 3 para 3)</t>
        </is>
      </c>
      <c r="F74" s="102" t="inlineStr">
        <is>
          <t>AI-CTRL-014, AI-CTRL-039</t>
        </is>
      </c>
      <c r="G74" s="102" t="inlineStr">
        <is>
          <t>AI-R08, AI-R10, AI-R12, AI-R14, AI-R16, AI-R20</t>
        </is>
      </c>
      <c r="H74" s="102" t="inlineStr">
        <is>
          <t>Recalled</t>
        </is>
      </c>
      <c r="I74" s="102" t="inlineStr">
        <is>
          <t>Consumer Defence Code (Law 8.078/1990) text; finance and health sector rules</t>
        </is>
      </c>
      <c r="J74" s="102" t="inlineStr">
        <is>
          <t>Planalto: Decreto 13.135 de 9 de outubro de 2026, retrieved 22 Oct 2026 (the decree revokes Decreto 11.034/2022; Art. 25 sets entry into force 20 days after publication, and 2 Nov 2026 is this wiki's count; the Code itself was not read, so the tag stays Recalled)</t>
        </is>
      </c>
      <c r="K74" s="102" t="inlineStr">
        <is>
          <t>https://nachi065.github.io/AI-Security-Wiki/14_Brazil_AI_Compliance/03_Regulatory_Crosswalk.html</t>
        </is>
      </c>
    </row>
    <row r="75">
      <c r="A75" s="6" t="inlineStr">
        <is>
          <t>Canada</t>
        </is>
      </c>
      <c r="B75" s="6" t="inlineStr">
        <is>
          <t>CA1</t>
        </is>
      </c>
      <c r="C75" s="6" t="inlineStr">
        <is>
          <t>Artificial Intelligence and Data Act (Bill C-27)</t>
        </is>
      </c>
      <c r="D75" s="6" t="inlineStr">
        <is>
          <t>Proposed</t>
        </is>
      </c>
      <c r="E75" s="6" t="inlineStr">
        <is>
          <t>Lapsed 6 Jan 2025; not resurrected as drafted</t>
        </is>
      </c>
      <c r="F75" s="6" t="inlineStr">
        <is>
          <t>None</t>
        </is>
      </c>
      <c r="G75" s="6" t="inlineStr">
        <is>
          <t>None</t>
        </is>
      </c>
      <c r="H75" s="6" t="inlineStr">
        <is>
          <t>Reported</t>
        </is>
      </c>
      <c r="I75" s="6" t="inlineStr">
        <is>
          <t>New bills</t>
        </is>
      </c>
      <c r="J75" s="6" t="inlineStr"/>
      <c r="K75" s="6" t="inlineStr">
        <is>
          <t>https://nachi065.github.io/AI-Security-Wiki/15_Canada_AI_Compliance/03_Regulatory_Crosswalk.html</t>
        </is>
      </c>
    </row>
    <row r="76">
      <c r="A76" s="102" t="inlineStr">
        <is>
          <t>Canada</t>
        </is>
      </c>
      <c r="B76" s="102" t="inlineStr">
        <is>
          <t>CA2</t>
        </is>
      </c>
      <c r="C76" s="102" t="inlineStr">
        <is>
          <t>PIPEDA</t>
        </is>
      </c>
      <c r="D76" s="102" t="inlineStr">
        <is>
          <t>Binding law</t>
        </is>
      </c>
      <c r="E76" s="102" t="inlineStr">
        <is>
          <t>Binding federal privacy law</t>
        </is>
      </c>
      <c r="F76" s="102" t="inlineStr">
        <is>
          <t>AI-CTRL-007, AI-CTRL-013, AI-CTRL-035</t>
        </is>
      </c>
      <c r="G76" s="102" t="inlineStr">
        <is>
          <t>AI-R03, AI-R09, AI-R10, AI-R20, AI-R27, AI-R28</t>
        </is>
      </c>
      <c r="H76" s="102" t="inlineStr">
        <is>
          <t>Verified</t>
        </is>
      </c>
      <c r="I76" s="102" t="inlineStr">
        <is>
          <t>OPC guidance applying PIPEDA to AI (the joint generative AI principles of 7 Dec 2023 do not name PIPEDA)</t>
        </is>
      </c>
      <c r="J76" s="102" t="inlineStr">
        <is>
          <t>Justice Laws: PIPEDA (S.C. 2000, c. 5), current to 30 Sep 2026; OPC: principles for responsible, trustworthy and privacy-protective generative AI, retrieved 22 Oct 2026</t>
        </is>
      </c>
      <c r="K76" s="102" t="inlineStr">
        <is>
          <t>https://nachi065.github.io/AI-Security-Wiki/15_Canada_AI_Compliance/03_Regulatory_Crosswalk.html</t>
        </is>
      </c>
    </row>
    <row r="77">
      <c r="A77" s="6" t="inlineStr">
        <is>
          <t>Canada</t>
        </is>
      </c>
      <c r="B77" s="6" t="inlineStr">
        <is>
          <t>CA3</t>
        </is>
      </c>
      <c r="C77" s="6" t="inlineStr">
        <is>
          <t>Quebec Law 25</t>
        </is>
      </c>
      <c r="D77" s="6" t="inlineStr">
        <is>
          <t>Binding in scope</t>
        </is>
      </c>
      <c r="E77" s="6" t="inlineStr">
        <is>
          <t>Binding</t>
        </is>
      </c>
      <c r="F77" s="6" t="inlineStr">
        <is>
          <t>AI-CTRL-013, AI-CTRL-023, AI-CTRL-041</t>
        </is>
      </c>
      <c r="G77" s="6" t="inlineStr">
        <is>
          <t>AI-R03, AI-R07, AI-R10, AI-R12, AI-R14, AI-R15, AI-R19, AI-R27, AI-R28</t>
        </is>
      </c>
      <c r="H77" s="6" t="inlineStr">
        <is>
          <t>Verified</t>
        </is>
      </c>
      <c r="I77" s="6" t="inlineStr">
        <is>
          <t>s. 8.1 (profiling technology) and the public-sector Act (CQLR c. A-2.1, s. 65.2)</t>
        </is>
      </c>
      <c r="J77" s="6" t="inlineStr">
        <is>
          <t>LegisQuebec: Act respecting the protection of personal information in the private sector (CQLR c. P-39.1), PDF updated to 12 Aug 2026, retrieved 22 Oct 2026 (s. 12.1, decisions based exclusively on automated processing, added by 2021, c. 25, s. 110.1)</t>
        </is>
      </c>
      <c r="K77" s="6" t="inlineStr">
        <is>
          <t>https://nachi065.github.io/AI-Security-Wiki/15_Canada_AI_Compliance/03_Regulatory_Crosswalk.html</t>
        </is>
      </c>
    </row>
    <row r="78">
      <c r="A78" s="102" t="inlineStr">
        <is>
          <t>Canada</t>
        </is>
      </c>
      <c r="B78" s="102" t="inlineStr">
        <is>
          <t>CA4</t>
        </is>
      </c>
      <c r="C78" s="102" t="inlineStr">
        <is>
          <t>Treasury Board Directive on Automated Decision-Making; Algorithmic Impact Assessment</t>
        </is>
      </c>
      <c r="D78" s="102" t="inlineStr">
        <is>
          <t>Binding in scope</t>
        </is>
      </c>
      <c r="E78" s="102" t="inlineStr">
        <is>
          <t>Binding for federal institutions; flows to vendors</t>
        </is>
      </c>
      <c r="F78" s="102" t="inlineStr">
        <is>
          <t>AI-CTRL-011, AI-CTRL-037, AI-CTRL-039</t>
        </is>
      </c>
      <c r="G78" s="102" t="inlineStr">
        <is>
          <t>AI-R02, AI-R12, AI-R14, AI-R18, AI-R20, AI-R28, AI-R55</t>
        </is>
      </c>
      <c r="H78" s="102" t="inlineStr">
        <is>
          <t>Reported</t>
        </is>
      </c>
      <c r="I78" s="102" t="inlineStr">
        <is>
          <t>Current version</t>
        </is>
      </c>
      <c r="J78" s="102" t="inlineStr"/>
      <c r="K78" s="102" t="inlineStr">
        <is>
          <t>https://nachi065.github.io/AI-Security-Wiki/15_Canada_AI_Compliance/03_Regulatory_Crosswalk.html</t>
        </is>
      </c>
    </row>
    <row r="79">
      <c r="A79" s="6" t="inlineStr">
        <is>
          <t>Canada</t>
        </is>
      </c>
      <c r="B79" s="6" t="inlineStr">
        <is>
          <t>CA5</t>
        </is>
      </c>
      <c r="C79" s="6" t="inlineStr">
        <is>
          <t>Voluntary Code of Conduct on generative AI (ISED)</t>
        </is>
      </c>
      <c r="D79" s="6" t="inlineStr">
        <is>
          <t>Voluntary</t>
        </is>
      </c>
      <c r="E79" s="6" t="inlineStr">
        <is>
          <t>Voluntary</t>
        </is>
      </c>
      <c r="F79" s="6" t="inlineStr">
        <is>
          <t>AI-CTRL-012, AI-CTRL-039</t>
        </is>
      </c>
      <c r="G79" s="6" t="inlineStr">
        <is>
          <t>AI-R02, AI-R03, AI-R12, AI-R14, AI-R18, AI-R19, AI-R20, AI-R27, AI-R28</t>
        </is>
      </c>
      <c r="H79" s="6" t="inlineStr">
        <is>
          <t>Verified</t>
        </is>
      </c>
      <c r="I79" s="6" t="inlineStr">
        <is>
          <t>Nothing outstanding</t>
        </is>
      </c>
      <c r="J79" s="6" t="inlineStr">
        <is>
          <t>ISED: Voluntary Code of Conduct on the Responsible Development and Management of Advanced Generative AI Systems, retrieved 22 Oct 2026 (the page, modified 4 Jun 2026, lists 46 signatories)</t>
        </is>
      </c>
      <c r="K79" s="6" t="inlineStr">
        <is>
          <t>https://nachi065.github.io/AI-Security-Wiki/15_Canada_AI_Compliance/03_Regulatory_Crosswalk.html</t>
        </is>
      </c>
    </row>
    <row r="80">
      <c r="A80" s="102" t="inlineStr">
        <is>
          <t>Canada</t>
        </is>
      </c>
      <c r="B80" s="102" t="inlineStr">
        <is>
          <t>CA6</t>
        </is>
      </c>
      <c r="C80" s="102" t="inlineStr">
        <is>
          <t>OSFI Guideline E-23</t>
        </is>
      </c>
      <c r="D80" s="102" t="inlineStr">
        <is>
          <t>Guidance</t>
        </is>
      </c>
      <c r="E80" s="102" t="inlineStr">
        <is>
          <t>Guidance for federally regulated FIs; final version published 11 Sep 2025, effective 1 May 2027</t>
        </is>
      </c>
      <c r="F80" s="102" t="inlineStr">
        <is>
          <t>AI-CTRL-011, AI-CTRL-037, AI-CTRL-038</t>
        </is>
      </c>
      <c r="G80" s="102" t="inlineStr">
        <is>
          <t>AI-R02, AI-R09, AI-R15, AI-R18, AI-R28, AI-R55</t>
        </is>
      </c>
      <c r="H80" s="102" t="inlineStr">
        <is>
          <t>Verified</t>
        </is>
      </c>
      <c r="I80" s="102" t="inlineStr">
        <is>
          <t>Nothing outstanding</t>
        </is>
      </c>
      <c r="J80" s="102" t="inlineStr">
        <is>
          <t>OSFI: Guideline E-23, Model Risk Management (2027); OSFI: Guideline E-23 letter, retrieved 22 Oct 2026 (covers all models including AI and machine learning; federally regulated pension plans were dropped from the final version)</t>
        </is>
      </c>
      <c r="K80" s="102" t="inlineStr">
        <is>
          <t>https://nachi065.github.io/AI-Security-Wiki/15_Canada_AI_Compliance/03_Regulatory_Crosswalk.html</t>
        </is>
      </c>
    </row>
    <row r="81">
      <c r="A81" s="6" t="inlineStr">
        <is>
          <t>Canada</t>
        </is>
      </c>
      <c r="B81" s="6" t="inlineStr">
        <is>
          <t>CA7</t>
        </is>
      </c>
      <c r="C81" s="6" t="inlineStr">
        <is>
          <t>Bills C-34 (digital safety incl. AI chatbots) and C-36 (privacy reform)</t>
        </is>
      </c>
      <c r="D81" s="6" t="inlineStr">
        <is>
          <t>Proposed</t>
        </is>
      </c>
      <c r="E81" s="6" t="inlineStr">
        <is>
          <t>Bills</t>
        </is>
      </c>
      <c r="F81" s="6" t="inlineStr">
        <is>
          <t>AI-CTRL-013, AI-CTRL-039</t>
        </is>
      </c>
      <c r="G81" s="6" t="inlineStr">
        <is>
          <t>AI-R03, AI-R10, AI-R12, AI-R14, AI-R20, AI-R27, AI-R28</t>
        </is>
      </c>
      <c r="H81" s="6" t="inlineStr">
        <is>
          <t>Verified</t>
        </is>
      </c>
      <c r="I81" s="6" t="inlineStr">
        <is>
          <t>LEGISinfo bill pages (not retrievable automatically on 22 Oct 2026)</t>
        </is>
      </c>
      <c r="J81" s="6" t="inlineStr">
        <is>
          <t>Parliament of Canada: LEGISinfo, bills of the 45th Parliament, 1st session; Bill C-34, first reading; Bill C-36, first reading, retrieved 22 Oct 2026 (C-34 (Safe Social Media Act; defines "chatbot service") and C-36 (Protecting Privacy and Consumer Data Act) are both at second reading in the House of Commons)</t>
        </is>
      </c>
      <c r="K81" s="6" t="inlineStr">
        <is>
          <t>https://nachi065.github.io/AI-Security-Wiki/15_Canada_AI_Compliance/03_Regulatory_Crosswalk.html</t>
        </is>
      </c>
    </row>
    <row r="82">
      <c r="A82" s="102" t="inlineStr">
        <is>
          <t>Canada</t>
        </is>
      </c>
      <c r="B82" s="102" t="inlineStr">
        <is>
          <t>CA8</t>
        </is>
      </c>
      <c r="C82" s="102" t="inlineStr">
        <is>
          <t>Provincial public-sector AI rules (Ontario: Enhancing Digital Security and Trust Act, 2024; Responsible Use of AI Directive)</t>
        </is>
      </c>
      <c r="D82" s="102" t="inlineStr">
        <is>
          <t>Binding in scope</t>
        </is>
      </c>
      <c r="E82" s="102" t="inlineStr">
        <is>
          <t>Ontario: EDSTA (S.O. 2024, c. 24, Sch. 1) AI provisions ss. 5 and 6 in force 29 Jan 2025, operating through regulations (none on AI found); Responsible Use of AI Directive mandatory for ministries and provincial agencies since 1 Dec 2024</t>
        </is>
      </c>
      <c r="F82" s="102" t="inlineStr">
        <is>
          <t>AI-CTRL-012</t>
        </is>
      </c>
      <c r="G82" s="102" t="inlineStr">
        <is>
          <t>AI-R02, AI-R03, AI-R18, AI-R19, AI-R27, AI-R28</t>
        </is>
      </c>
      <c r="H82" s="102" t="inlineStr">
        <is>
          <t>Verified</t>
        </is>
      </c>
      <c r="I82" s="102" t="inlineStr">
        <is>
          <t>Other provinces; Ontario e-Laws consolidation of EDSTA</t>
        </is>
      </c>
      <c r="J82" s="102" t="inlineStr">
        <is>
          <t>Legislative Assembly of Ontario: Bill 194; Ontario: Order in Council 361/2025; Ontario: Enhancing Digital Security and Trust Act; Ontario: Responsible use of artificial intelligence directive, retrieved 22 Oct 2026 (Royal Assent 25 Nov 2024; the only regulations listed are O. Reg. 51/26 (cyber security) and 52/26 (digital technology affecting people under 18), both from 1 Jul 2026)</t>
        </is>
      </c>
      <c r="K82" s="102" t="inlineStr">
        <is>
          <t>https://nachi065.github.io/AI-Security-Wiki/15_Canada_AI_Compliance/03_Regulatory_Crosswalk.html</t>
        </is>
      </c>
    </row>
    <row r="83">
      <c r="A83" s="6" t="inlineStr">
        <is>
          <t>China</t>
        </is>
      </c>
      <c r="B83" s="6" t="inlineStr">
        <is>
          <t>CN1</t>
        </is>
      </c>
      <c r="C83" s="6" t="inlineStr">
        <is>
          <t>Interim Measures for the Management of Generative AI Services (2023)</t>
        </is>
      </c>
      <c r="D83" s="6" t="inlineStr">
        <is>
          <t>Binding law</t>
        </is>
      </c>
      <c r="E83" s="6" t="inlineStr">
        <is>
          <t>Binding administrative measures</t>
        </is>
      </c>
      <c r="F83" s="6" t="inlineStr">
        <is>
          <t>AI-CTRL-012, AI-CTRL-013, AI-CTRL-039</t>
        </is>
      </c>
      <c r="G83" s="6" t="inlineStr">
        <is>
          <t>AI-R02, AI-R03, AI-R10, AI-R12, AI-R14, AI-R18, AI-R19, AI-R20, AI-R27, AI-R28</t>
        </is>
      </c>
      <c r="H83" s="6" t="inlineStr">
        <is>
          <t>Verified</t>
        </is>
      </c>
      <c r="I83" s="6" t="inlineStr">
        <is>
          <t>Nothing outstanding</t>
        </is>
      </c>
      <c r="J83" s="6" t="inlineStr">
        <is>
          <t>State Council policy library: 生成式人工智能服务管理暂行办法 (CAC and six other bodies, Order No. 15), retrieved 22 Oct 2026 (effective 15 Aug 2023; Art. 17 requires a security assessment and algorithm filing only for services with public-opinion or social-mobilisation attributes; no numeric threshold)</t>
        </is>
      </c>
      <c r="K83" s="6" t="inlineStr">
        <is>
          <t>https://nachi065.github.io/AI-Security-Wiki/16_China_AI_Compliance/03_Regulatory_Crosswalk.html</t>
        </is>
      </c>
    </row>
    <row r="84">
      <c r="A84" s="102" t="inlineStr">
        <is>
          <t>China</t>
        </is>
      </c>
      <c r="B84" s="102" t="inlineStr">
        <is>
          <t>CN2</t>
        </is>
      </c>
      <c r="C84" s="102" t="inlineStr">
        <is>
          <t>Provisions on Algorithm Recommendation (2022)</t>
        </is>
      </c>
      <c r="D84" s="102" t="inlineStr">
        <is>
          <t>Binding law</t>
        </is>
      </c>
      <c r="E84" s="102" t="inlineStr">
        <is>
          <t>Binding</t>
        </is>
      </c>
      <c r="F84" s="102" t="inlineStr">
        <is>
          <t>AI-CTRL-011, AI-CTRL-013, AI-CTRL-039</t>
        </is>
      </c>
      <c r="G84" s="102" t="inlineStr">
        <is>
          <t>AI-R02, AI-R03, AI-R10, AI-R12, AI-R14, AI-R18, AI-R20, AI-R27, AI-R28</t>
        </is>
      </c>
      <c r="H84" s="102" t="inlineStr">
        <is>
          <t>Verified</t>
        </is>
      </c>
      <c r="I84" s="102" t="inlineStr">
        <is>
          <t>Nothing outstanding</t>
        </is>
      </c>
      <c r="J84" s="102" t="inlineStr">
        <is>
          <t>CAC: 互联网信息服务算法推荐管理规定 (Order No. 9), retrieved 22 Oct 2026 (effective 1 Mar 2022; filing within 10 working days of starting the service (Art. 24))</t>
        </is>
      </c>
      <c r="K84" s="102" t="inlineStr">
        <is>
          <t>https://nachi065.github.io/AI-Security-Wiki/16_China_AI_Compliance/03_Regulatory_Crosswalk.html</t>
        </is>
      </c>
    </row>
    <row r="85">
      <c r="A85" s="6" t="inlineStr">
        <is>
          <t>China</t>
        </is>
      </c>
      <c r="B85" s="6" t="inlineStr">
        <is>
          <t>CN3</t>
        </is>
      </c>
      <c r="C85" s="6" t="inlineStr">
        <is>
          <t>Provisions on Deep Synthesis (2023)</t>
        </is>
      </c>
      <c r="D85" s="6" t="inlineStr">
        <is>
          <t>Binding law</t>
        </is>
      </c>
      <c r="E85" s="6" t="inlineStr">
        <is>
          <t>Binding</t>
        </is>
      </c>
      <c r="F85" s="6" t="inlineStr">
        <is>
          <t>AI-CTRL-039</t>
        </is>
      </c>
      <c r="G85" s="6" t="inlineStr">
        <is>
          <t>AI-R12, AI-R14, AI-R20</t>
        </is>
      </c>
      <c r="H85" s="6" t="inlineStr">
        <is>
          <t>Verified</t>
        </is>
      </c>
      <c r="I85" s="6" t="inlineStr">
        <is>
          <t>Nothing outstanding</t>
        </is>
      </c>
      <c r="J85" s="6" t="inlineStr">
        <is>
          <t>CAC: 互联网信息服务深度合成管理规定 (Order No. 12), retrieved 22 Oct 2026 (effective 10 Jan 2023; scope in Art. 2, definition in Art. 23)</t>
        </is>
      </c>
      <c r="K85" s="6" t="inlineStr">
        <is>
          <t>https://nachi065.github.io/AI-Security-Wiki/16_China_AI_Compliance/03_Regulatory_Crosswalk.html</t>
        </is>
      </c>
    </row>
    <row r="86">
      <c r="A86" s="102" t="inlineStr">
        <is>
          <t>China</t>
        </is>
      </c>
      <c r="B86" s="102" t="inlineStr">
        <is>
          <t>CN4</t>
        </is>
      </c>
      <c r="C86" s="102" t="inlineStr">
        <is>
          <t>Measures for labelling AI-generated content; mandatory standard GB 45438-2025</t>
        </is>
      </c>
      <c r="D86" s="102" t="inlineStr">
        <is>
          <t>Binding law</t>
        </is>
      </c>
      <c r="E86" s="102" t="inlineStr">
        <is>
          <t>Binding; effective 1 Sep 2025</t>
        </is>
      </c>
      <c r="F86" s="102" t="inlineStr">
        <is>
          <t>AI-CTRL-039</t>
        </is>
      </c>
      <c r="G86" s="102" t="inlineStr">
        <is>
          <t>AI-R12, AI-R14, AI-R20</t>
        </is>
      </c>
      <c r="H86" s="102" t="inlineStr">
        <is>
          <t>Verified</t>
        </is>
      </c>
      <c r="I86" s="102" t="inlineStr">
        <is>
          <t>Nothing outstanding</t>
        </is>
      </c>
      <c r="J86" s="102" t="inlineStr">
        <is>
          <t>CAC: 人工智能生成合成内容标识办法 (CAC, MIIT, MPS and NRTA); SAMR national standards system: GB 45438-2025, retrieved 22 Oct 2026 (the measures and the standard both take effect 1 Sep 2025; Art. 11 of the measures refers to mandatory national standards without naming GB 45438)</t>
        </is>
      </c>
      <c r="K86" s="102" t="inlineStr">
        <is>
          <t>https://nachi065.github.io/AI-Security-Wiki/16_China_AI_Compliance/03_Regulatory_Crosswalk.html</t>
        </is>
      </c>
    </row>
    <row r="87">
      <c r="A87" s="6" t="inlineStr">
        <is>
          <t>China</t>
        </is>
      </c>
      <c r="B87" s="6" t="inlineStr">
        <is>
          <t>CN5</t>
        </is>
      </c>
      <c r="C87" s="6" t="inlineStr">
        <is>
          <t>Measures for AI Science and Technology Ethics Review and Services (Trial) (人工智能科技伦理审查与服务办法（试行）, MIIT and nine other bodies)</t>
        </is>
      </c>
      <c r="D87" s="6" t="inlineStr">
        <is>
          <t>Binding law</t>
        </is>
      </c>
      <c r="E87" s="6" t="inlineStr">
        <is>
          <t>Trial measures (工信部联科〔2026〕75号); effective on issuance (notice dated 20 Mar 2026; published 2 and 3 Apr 2026)</t>
        </is>
      </c>
      <c r="F87" s="6" t="inlineStr">
        <is>
          <t>AI-CTRL-012, AI-CTRL-037, AI-CTRL-041</t>
        </is>
      </c>
      <c r="G87" s="6" t="inlineStr">
        <is>
          <t>AI-R02, AI-R03, AI-R12, AI-R14, AI-R15, AI-R18, AI-R19, AI-R27, AI-R28, AI-R55</t>
        </is>
      </c>
      <c r="H87" s="6" t="inlineStr">
        <is>
          <t>Verified</t>
        </is>
      </c>
      <c r="I87" s="6" t="inlineStr">
        <is>
          <t>Whether a trial normative document fits the label Binding law</t>
        </is>
      </c>
      <c r="J87" s="6" t="inlineStr">
        <is>
          <t>State Council policy library: notice and measures; Full text (PDF); MIIT: notice, retrieved 22 Oct 2026 (Art. 37: in force from the date of issue; scope in Art. 2 is AI research and development that may create ethics risks)</t>
        </is>
      </c>
      <c r="K87" s="6" t="inlineStr">
        <is>
          <t>https://nachi065.github.io/AI-Security-Wiki/16_China_AI_Compliance/03_Regulatory_Crosswalk.html</t>
        </is>
      </c>
    </row>
    <row r="88">
      <c r="A88" s="102" t="inlineStr">
        <is>
          <t>China</t>
        </is>
      </c>
      <c r="B88" s="102" t="inlineStr">
        <is>
          <t>CN6</t>
        </is>
      </c>
      <c r="C88" s="102" t="inlineStr">
        <is>
          <t>Interim Measures for the Administration of Anthropomorphic AI Interactive Services (人工智能拟人化互动服务管理暂行办法, CAC Order No. 21)</t>
        </is>
      </c>
      <c r="D88" s="102" t="inlineStr">
        <is>
          <t>Binding law</t>
        </is>
      </c>
      <c r="E88" s="102" t="inlineStr">
        <is>
          <t>Binding; published 10 Apr 2026, effective 15 Jul 2026 (final; the December 2025 draft is replaced)</t>
        </is>
      </c>
      <c r="F88" s="102" t="inlineStr">
        <is>
          <t>AI-CTRL-023, AI-CTRL-039</t>
        </is>
      </c>
      <c r="G88" s="102" t="inlineStr">
        <is>
          <t>AI-R07, AI-R12, AI-R14, AI-R19, AI-R20</t>
        </is>
      </c>
      <c r="H88" s="102" t="inlineStr">
        <is>
          <t>Verified</t>
        </is>
      </c>
      <c r="I88" s="102" t="inlineStr">
        <is>
          <t>Nothing outstanding</t>
        </is>
      </c>
      <c r="J88" s="102" t="inlineStr">
        <is>
          <t>CAC: Order No. 21, retrieved 22 Oct 2026 (issued by CAC, NDRC, MIIT, MPS and SAMR; covers services simulating human personality for continuous emotional interaction; security assessment at launch and at 1 million registered or 100,000 monthly active users (Art. 22))</t>
        </is>
      </c>
      <c r="K88" s="102" t="inlineStr">
        <is>
          <t>https://nachi065.github.io/AI-Security-Wiki/16_China_AI_Compliance/03_Regulatory_Crosswalk.html</t>
        </is>
      </c>
    </row>
    <row r="89">
      <c r="A89" s="6" t="inlineStr">
        <is>
          <t>China</t>
        </is>
      </c>
      <c r="B89" s="6" t="inlineStr">
        <is>
          <t>CN7</t>
        </is>
      </c>
      <c r="C89" s="6" t="inlineStr">
        <is>
          <t>Cybersecurity Law (2025 amendment with AI provisions); Data Security Law; PIPL</t>
        </is>
      </c>
      <c r="D89" s="6" t="inlineStr">
        <is>
          <t>Binding law</t>
        </is>
      </c>
      <c r="E89" s="6" t="inlineStr">
        <is>
          <t>Binding; Cybersecurity Law amendment adopted 28 Oct 2025, in force 1 Jan 2026 (adds state support for AI and AI safety oversight)</t>
        </is>
      </c>
      <c r="F89" s="6" t="inlineStr">
        <is>
          <t>AI-CTRL-005, AI-CTRL-007, AI-CTRL-013, AI-CTRL-035</t>
        </is>
      </c>
      <c r="G89" s="6" t="inlineStr">
        <is>
          <t>AI-R03, AI-R05, AI-R06, AI-R09, AI-R10, AI-R20, AI-R24, AI-R27, AI-R28</t>
        </is>
      </c>
      <c r="H89" s="6" t="inlineStr">
        <is>
          <t>Reported</t>
        </is>
      </c>
      <c r="I89" s="6" t="inlineStr">
        <is>
          <t>Data Security Law text; cross-border transfer rules (2024 provisions); the NPC copy of the amendment could not be retrieved</t>
        </is>
      </c>
      <c r="J89" s="6" t="inlineStr">
        <is>
          <t>CAC: decision amending the Cybersecurity Law; CAC: Personal Information Protection Law, retrieved 22 Oct 2026 (the amendment and PIPL were read; the Data Security Law was not, so the tag stays Reported)</t>
        </is>
      </c>
      <c r="K89" s="6" t="inlineStr">
        <is>
          <t>https://nachi065.github.io/AI-Security-Wiki/16_China_AI_Compliance/03_Regulatory_Crosswalk.html</t>
        </is>
      </c>
    </row>
    <row r="90">
      <c r="A90" s="102" t="inlineStr">
        <is>
          <t>China</t>
        </is>
      </c>
      <c r="B90" s="102" t="inlineStr">
        <is>
          <t>CN8</t>
        </is>
      </c>
      <c r="C90" s="102" t="inlineStr">
        <is>
          <t>Comprehensive AI law</t>
        </is>
      </c>
      <c r="D90" s="102" t="inlineStr">
        <is>
          <t>Proposed</t>
        </is>
      </c>
      <c r="E90" s="102" t="inlineStr">
        <is>
          <t>State Council 2026 legislative work plan (国办发〔2026〕14号) commits to accelerate comprehensive legislation on the healthy development of AI; no draft published; not enacted</t>
        </is>
      </c>
      <c r="F90" s="102" t="inlineStr">
        <is>
          <t>None</t>
        </is>
      </c>
      <c r="G90" s="102" t="inlineStr">
        <is>
          <t>None</t>
        </is>
      </c>
      <c r="H90" s="102" t="inlineStr">
        <is>
          <t>Verified</t>
        </is>
      </c>
      <c r="I90" s="102" t="inlineStr">
        <is>
          <t>NPC Standing Committee 2026 work plan (npc.gov.cn could not be retrieved); whether the bill is on the plan's list of bills to submit</t>
        </is>
      </c>
      <c r="J90" s="102" t="inlineStr">
        <is>
          <t>State Council: 2026 legislative work plan, retrieved 22 Oct 2026 (the plan was published 11 May 2026)</t>
        </is>
      </c>
      <c r="K90" s="102" t="inlineStr">
        <is>
          <t>https://nachi065.github.io/AI-Security-Wiki/16_China_AI_Compliance/03_Regulatory_Crosswalk.html</t>
        </is>
      </c>
    </row>
    <row r="91">
      <c r="A91" s="6" t="inlineStr">
        <is>
          <t>China</t>
        </is>
      </c>
      <c r="B91" s="6" t="inlineStr">
        <is>
          <t>CN9</t>
        </is>
      </c>
      <c r="C91" s="6" t="inlineStr">
        <is>
          <t>Regulators: CAC, MIIT, SAMR, MPS</t>
        </is>
      </c>
      <c r="D91" s="6" t="inlineStr">
        <is>
          <t>Context</t>
        </is>
      </c>
      <c r="E91" s="6" t="inlineStr">
        <is>
          <t>Authorities</t>
        </is>
      </c>
      <c r="F91" s="6" t="inlineStr">
        <is>
          <t>AI-CTRL-013</t>
        </is>
      </c>
      <c r="G91" s="6" t="inlineStr">
        <is>
          <t>AI-R03, AI-R10, AI-R27, AI-R28</t>
        </is>
      </c>
      <c r="H91" s="6" t="inlineStr">
        <is>
          <t>Reported</t>
        </is>
      </c>
      <c r="I91" s="6" t="inlineStr">
        <is>
          <t>Contact points</t>
        </is>
      </c>
      <c r="J91" s="6" t="inlineStr"/>
      <c r="K91" s="6" t="inlineStr">
        <is>
          <t>https://nachi065.github.io/AI-Security-Wiki/16_China_AI_Compliance/03_Regulatory_Crosswalk.html</t>
        </is>
      </c>
    </row>
    <row r="92">
      <c r="A92" s="102" t="inlineStr">
        <is>
          <t>India</t>
        </is>
      </c>
      <c r="B92" s="102" t="inlineStr">
        <is>
          <t>IN1</t>
        </is>
      </c>
      <c r="C92" s="102" t="inlineStr">
        <is>
          <t>Digital Personal Data Protection Act 2023</t>
        </is>
      </c>
      <c r="D92" s="102" t="inlineStr">
        <is>
          <t>Binding law</t>
        </is>
      </c>
      <c r="E92" s="102" t="inlineStr">
        <is>
          <t>Binding law (Act 22 of 2023, listed as 11 Aug 2023); being implemented</t>
        </is>
      </c>
      <c r="F92" s="102" t="inlineStr">
        <is>
          <t>AI-CTRL-007, AI-CTRL-013, AI-CTRL-017, AI-CTRL-035</t>
        </is>
      </c>
      <c r="G92" s="102" t="inlineStr">
        <is>
          <t>AI-R01, AI-R03, AI-R06, AI-R09, AI-R10, AI-R17, AI-R20, AI-R27, AI-R28</t>
        </is>
      </c>
      <c r="H92" s="102" t="inlineStr">
        <is>
          <t>Verified</t>
        </is>
      </c>
      <c r="I92" s="102" t="inlineStr">
        <is>
          <t>Whether the penalty applies per contravention; wording of each section</t>
        </is>
      </c>
      <c r="J92" s="102" t="inlineStr">
        <is>
          <t>Act text, retrieved 16 Oct 2026</t>
        </is>
      </c>
      <c r="K92" s="102" t="inlineStr">
        <is>
          <t>https://nachi065.github.io/AI-Security-Wiki/17_India_AI_Compliance/03_Regulatory_Crosswalk.html</t>
        </is>
      </c>
    </row>
    <row r="93">
      <c r="A93" s="6" t="inlineStr">
        <is>
          <t>India</t>
        </is>
      </c>
      <c r="B93" s="6" t="inlineStr">
        <is>
          <t>IN2</t>
        </is>
      </c>
      <c r="C93" s="6" t="inlineStr">
        <is>
          <t>DPDP Rules 2025</t>
        </is>
      </c>
      <c r="D93" s="6" t="inlineStr">
        <is>
          <t>Binding law</t>
        </is>
      </c>
      <c r="E93" s="6" t="inlineStr">
        <is>
          <t>Notified as G.S.R. 846(E) dated 13 Nov 2025; phased</t>
        </is>
      </c>
      <c r="F93" s="6" t="inlineStr">
        <is>
          <t>AI-CTRL-007, AI-CTRL-013, AI-CTRL-035</t>
        </is>
      </c>
      <c r="G93" s="6" t="inlineStr">
        <is>
          <t>AI-R03, AI-R09, AI-R10, AI-R20, AI-R27, AI-R28</t>
        </is>
      </c>
      <c r="H93" s="6" t="inlineStr">
        <is>
          <t>Verified</t>
        </is>
      </c>
      <c r="I93" s="6" t="inlineStr">
        <is>
          <t>Breach intimation time limit in Rule 7 (English text not read); any shortening of the phase-in</t>
        </is>
      </c>
      <c r="J93" s="6" t="inlineStr">
        <is>
          <t>Rules text (MeitY), retrieved 16 Oct 2026</t>
        </is>
      </c>
      <c r="K93" s="6" t="inlineStr">
        <is>
          <t>https://nachi065.github.io/AI-Security-Wiki/17_India_AI_Compliance/03_Regulatory_Crosswalk.html</t>
        </is>
      </c>
    </row>
    <row r="94">
      <c r="A94" s="102" t="inlineStr">
        <is>
          <t>India</t>
        </is>
      </c>
      <c r="B94" s="102" t="inlineStr">
        <is>
          <t>IN3</t>
        </is>
      </c>
      <c r="C94" s="102" t="inlineStr">
        <is>
          <t>Data Protection Board of India</t>
        </is>
      </c>
      <c r="D94" s="102" t="inlineStr">
        <is>
          <t>Context</t>
        </is>
      </c>
      <c r="E94" s="102" t="inlineStr">
        <is>
          <t>Established in law (DPDP Act s.18); Chairperson and four Member posts advertised (MeitY notice of 6 May 2026); no appointment stated in the Lok Sabha answer of 12 Aug 2026</t>
        </is>
      </c>
      <c r="F94" s="102" t="inlineStr">
        <is>
          <t>AI-CTRL-013, AI-CTRL-035</t>
        </is>
      </c>
      <c r="G94" s="102" t="inlineStr">
        <is>
          <t>AI-R03, AI-R09, AI-R10, AI-R20, AI-R27, AI-R28</t>
        </is>
      </c>
      <c r="H94" s="102" t="inlineStr">
        <is>
          <t>Verified</t>
        </is>
      </c>
      <c r="I94" s="102" t="inlineStr">
        <is>
          <t>Whether any appointment has been made since 12 Aug 2026 (one secondary source says appointments were made on 6 Jun 2026; the primary sources read do not support this)</t>
        </is>
      </c>
      <c r="J94" s="102" t="inlineStr">
        <is>
          <t>MeitY notice F. No. 2(1)/2026-Pers.I; Lok Sabha unstarred question 3960, retrieved 20 Oct 2026</t>
        </is>
      </c>
      <c r="K94" s="102" t="inlineStr">
        <is>
          <t>https://nachi065.github.io/AI-Security-Wiki/17_India_AI_Compliance/03_Regulatory_Crosswalk.html</t>
        </is>
      </c>
    </row>
    <row r="95">
      <c r="A95" s="6" t="inlineStr">
        <is>
          <t>India</t>
        </is>
      </c>
      <c r="B95" s="6" t="inlineStr">
        <is>
          <t>IN4</t>
        </is>
      </c>
      <c r="C95" s="6" t="inlineStr">
        <is>
          <t>India AI Governance Guidelines (MeitY)</t>
        </is>
      </c>
      <c r="D95" s="6" t="inlineStr">
        <is>
          <t>Guidance</t>
        </is>
      </c>
      <c r="E95" s="6" t="inlineStr">
        <is>
          <t>Non-binding; the document is undated; release reported as 5 Nov 2025</t>
        </is>
      </c>
      <c r="F95" s="6" t="inlineStr">
        <is>
          <t>AI-CTRL-012, AI-CTRL-039, AI-CTRL-041</t>
        </is>
      </c>
      <c r="G95" s="6" t="inlineStr">
        <is>
          <t>AI-R02, AI-R03, AI-R12, AI-R14, AI-R15, AI-R18, AI-R19, AI-R20, AI-R27, AI-R28</t>
        </is>
      </c>
      <c r="H95" s="6" t="inlineStr">
        <is>
          <t>Verified</t>
        </is>
      </c>
      <c r="I95" s="6" t="inlineStr">
        <is>
          <t>Release date (the document itself is undated)</t>
        </is>
      </c>
      <c r="J95" s="6" t="inlineStr">
        <is>
          <t>Guidelines (PIB-hosted), retrieved 16 Oct 2026</t>
        </is>
      </c>
      <c r="K95" s="6" t="inlineStr">
        <is>
          <t>https://nachi065.github.io/AI-Security-Wiki/17_India_AI_Compliance/03_Regulatory_Crosswalk.html</t>
        </is>
      </c>
    </row>
    <row r="96">
      <c r="A96" s="102" t="inlineStr">
        <is>
          <t>India</t>
        </is>
      </c>
      <c r="B96" s="102" t="inlineStr">
        <is>
          <t>IN5</t>
        </is>
      </c>
      <c r="C96" s="102" t="inlineStr">
        <is>
          <t>RBI FREE-AI Committee report</t>
        </is>
      </c>
      <c r="D96" s="102" t="inlineStr">
        <is>
          <t>Guidance</t>
        </is>
      </c>
      <c r="E96" s="102" t="inlineStr">
        <is>
          <t>Committee report published by the RBI on 13 Aug 2025; not a binding direction</t>
        </is>
      </c>
      <c r="F96" s="102" t="inlineStr">
        <is>
          <t>AI-CTRL-011, AI-CTRL-014, AI-CTRL-023, AI-CTRL-037, AI-CTRL-041</t>
        </is>
      </c>
      <c r="G96" s="102" t="inlineStr">
        <is>
          <t>AI-R02, AI-R07, AI-R08, AI-R10, AI-R12, AI-R14, AI-R15, AI-R16, AI-R18, AI-R19, AI-R28, AI-R55</t>
        </is>
      </c>
      <c r="H96" s="102" t="inlineStr">
        <is>
          <t>Verified</t>
        </is>
      </c>
      <c r="I96" s="102" t="inlineStr">
        <is>
          <t>The text of each recommendation; whether the RBI has adopted any of them as directions</t>
        </is>
      </c>
      <c r="J96" s="102" t="inlineStr">
        <is>
          <t>Report page (RBI), retrieved 16 Oct 2026</t>
        </is>
      </c>
      <c r="K96" s="102" t="inlineStr">
        <is>
          <t>https://nachi065.github.io/AI-Security-Wiki/17_India_AI_Compliance/03_Regulatory_Crosswalk.html</t>
        </is>
      </c>
    </row>
    <row r="97">
      <c r="A97" s="6" t="inlineStr">
        <is>
          <t>India</t>
        </is>
      </c>
      <c r="B97" s="6" t="inlineStr">
        <is>
          <t>IN6</t>
        </is>
      </c>
      <c r="C97" s="6" t="inlineStr">
        <is>
          <t>RBI draft Guidance on Model Risk Management</t>
        </is>
      </c>
      <c r="D97" s="6" t="inlineStr">
        <is>
          <t>Proposed</t>
        </is>
      </c>
      <c r="E97" s="6" t="inlineStr">
        <is>
          <t>Draft issued 24 Jun 2026; comments to 24 Jul 2026; expects override, suspension or kill-switch arrangements for AI models (para 60(ii))</t>
        </is>
      </c>
      <c r="F97" s="6" t="inlineStr">
        <is>
          <t>AI-CTRL-011, AI-CTRL-025, AI-CTRL-037, AI-CTRL-038, AI-CTRL-045</t>
        </is>
      </c>
      <c r="G97" s="6" t="inlineStr">
        <is>
          <t>AI-R02, AI-R07, AI-R09, AI-R11, AI-R12, AI-R14, AI-R15, AI-R18, AI-R19, AI-R21, AI-R25, AI-R28, AI-R55</t>
        </is>
      </c>
      <c r="H97" s="6" t="inlineStr">
        <is>
          <t>Verified</t>
        </is>
      </c>
      <c r="I97" s="6" t="inlineStr">
        <is>
          <t>Final status: still a draft when read on 25 Oct 2026</t>
        </is>
      </c>
      <c r="J97" s="6" t="inlineStr">
        <is>
          <t>Press release (RBI), retrieved 16 Oct 2026; draft guidance (RBI), read 25 Oct 2026 (paras 8 to 12, 43, 59 to 63)</t>
        </is>
      </c>
      <c r="K97" s="6" t="inlineStr">
        <is>
          <t>https://nachi065.github.io/AI-Security-Wiki/17_India_AI_Compliance/03_Regulatory_Crosswalk.html</t>
        </is>
      </c>
    </row>
    <row r="98">
      <c r="A98" s="102" t="inlineStr">
        <is>
          <t>India</t>
        </is>
      </c>
      <c r="B98" s="102" t="inlineStr">
        <is>
          <t>IN7</t>
        </is>
      </c>
      <c r="C98" s="102" t="inlineStr">
        <is>
          <t>SEBI regulations on AI and ML tools used by regulated entities</t>
        </is>
      </c>
      <c r="D98" s="102" t="inlineStr">
        <is>
          <t>Binding in scope</t>
        </is>
      </c>
      <c r="E98" s="102" t="inlineStr">
        <is>
          <t>Amendments to the Intermediaries Regulations 2008 and the Securities Contracts (Regulation) (Stock Exchanges and Clearing Corporations) Regulations 2018; reported as notified 6 Feb 2025</t>
        </is>
      </c>
      <c r="F98" s="102" t="inlineStr">
        <is>
          <t>AI-CTRL-011, AI-CTRL-014, AI-CTRL-038</t>
        </is>
      </c>
      <c r="G98" s="102" t="inlineStr">
        <is>
          <t>AI-R02, AI-R08, AI-R09, AI-R10, AI-R15, AI-R16, AI-R18, AI-R28</t>
        </is>
      </c>
      <c r="H98" s="102" t="inlineStr">
        <is>
          <t>Reported</t>
        </is>
      </c>
      <c r="I98" s="102" t="inlineStr">
        <is>
          <t>SEBI's notified text and gazette date; any later SEBI AI guidance</t>
        </is>
      </c>
      <c r="J98" s="102" t="inlineStr">
        <is>
          <t>Board memorandum (SEBI), retrieved 16 Oct 2026 (proposal only)</t>
        </is>
      </c>
      <c r="K98" s="102" t="inlineStr">
        <is>
          <t>https://nachi065.github.io/AI-Security-Wiki/17_India_AI_Compliance/03_Regulatory_Crosswalk.html</t>
        </is>
      </c>
    </row>
    <row r="99">
      <c r="A99" s="6" t="inlineStr">
        <is>
          <t>India</t>
        </is>
      </c>
      <c r="B99" s="6" t="inlineStr">
        <is>
          <t>IN8</t>
        </is>
      </c>
      <c r="C99" s="6" t="inlineStr">
        <is>
          <t>IRDAI: AI-cybersecurity readiness directive (May 2026); AI working group (Jun 2026)</t>
        </is>
      </c>
      <c r="D99" s="6" t="inlineStr">
        <is>
          <t>Unclear</t>
        </is>
      </c>
      <c r="E99" s="6" t="inlineStr">
        <is>
          <t>Not confirmed</t>
        </is>
      </c>
      <c r="F99" s="6" t="inlineStr">
        <is>
          <t>AI-CTRL-005, AI-CTRL-011</t>
        </is>
      </c>
      <c r="G99" s="6" t="inlineStr">
        <is>
          <t>AI-R02, AI-R05, AI-R06, AI-R18, AI-R24</t>
        </is>
      </c>
      <c r="H99" s="6" t="inlineStr">
        <is>
          <t>Unverified</t>
        </is>
      </c>
      <c r="I99" s="6" t="inlineStr">
        <is>
          <t>Whether any IRDAI instrument addresses AI, and its text</t>
        </is>
      </c>
      <c r="J99" s="6" t="inlineStr"/>
      <c r="K99" s="6" t="inlineStr">
        <is>
          <t>https://nachi065.github.io/AI-Security-Wiki/17_India_AI_Compliance/03_Regulatory_Crosswalk.html</t>
        </is>
      </c>
    </row>
    <row r="100">
      <c r="A100" s="102" t="inlineStr">
        <is>
          <t>India</t>
        </is>
      </c>
      <c r="B100" s="102" t="inlineStr">
        <is>
          <t>IN9</t>
        </is>
      </c>
      <c r="C100" s="102" t="inlineStr">
        <is>
          <t>IT Rules amendments on synthetic content labelling</t>
        </is>
      </c>
      <c r="D100" s="102" t="inlineStr">
        <is>
          <t>Binding in scope</t>
        </is>
      </c>
      <c r="E100" s="102" t="inlineStr">
        <is>
          <t>Notified as G.S.R. 120(E) dated 10 Feb 2026 (amending the IT Rules 2021); in force from 20 Feb 2026 (reported)</t>
        </is>
      </c>
      <c r="F100" s="102" t="inlineStr">
        <is>
          <t>AI-CTRL-039</t>
        </is>
      </c>
      <c r="G100" s="102" t="inlineStr">
        <is>
          <t>AI-R12, AI-R14, AI-R20</t>
        </is>
      </c>
      <c r="H100" s="102" t="inlineStr">
        <is>
          <t>Verified</t>
        </is>
      </c>
      <c r="I100" s="102" t="inlineStr">
        <is>
          <t>Commencement date (not shown in the text read); the Gazette copy itself</t>
        </is>
      </c>
      <c r="J100" s="102" t="inlineStr">
        <is>
          <t>IT Rules 2021, consolidated text (MeitY); PIB release of 6 Aug 2026, retrieved 20 Oct 2026 (MeitY's consolidated text of the IT Rules 2021 shows the synthetic content rules inserted by G.S.R. 120(E) dated 10.02.2026: Rules 2(1)(wa), 3(3) and 4(1A); commencement date not shown)</t>
        </is>
      </c>
      <c r="K100" s="102" t="inlineStr">
        <is>
          <t>https://nachi065.github.io/AI-Security-Wiki/17_India_AI_Compliance/03_Regulatory_Crosswalk.html</t>
        </is>
      </c>
    </row>
    <row r="101">
      <c r="A101" s="6" t="inlineStr">
        <is>
          <t>India</t>
        </is>
      </c>
      <c r="B101" s="6" t="inlineStr">
        <is>
          <t>IN10</t>
        </is>
      </c>
      <c r="C101" s="6" t="inlineStr">
        <is>
          <t>CERT-In incident reporting directions (2022) and AI guidance</t>
        </is>
      </c>
      <c r="D101" s="6" t="inlineStr">
        <is>
          <t>Binding law</t>
        </is>
      </c>
      <c r="E101" s="6" t="inlineStr">
        <is>
          <t>Binding directions of 28 Apr 2022 (No. 20(3)/2022-CERT-In) under section 70B(6) of the IT Act</t>
        </is>
      </c>
      <c r="F101" s="6" t="inlineStr">
        <is>
          <t>AI-CTRL-005, AI-CTRL-035</t>
        </is>
      </c>
      <c r="G101" s="6" t="inlineStr">
        <is>
          <t>AI-R05, AI-R06, AI-R09, AI-R20, AI-R24</t>
        </is>
      </c>
      <c r="H101" s="6" t="inlineStr">
        <is>
          <t>Verified</t>
        </is>
      </c>
      <c r="I101" s="6" t="inlineStr">
        <is>
          <t>Whether CERT-In has issued separate AI-specific guidance</t>
        </is>
      </c>
      <c r="J101" s="6" t="inlineStr">
        <is>
          <t>Directions (CERT-In), retrieved 16 Oct 2026</t>
        </is>
      </c>
      <c r="K101" s="6" t="inlineStr">
        <is>
          <t>https://nachi065.github.io/AI-Security-Wiki/17_India_AI_Compliance/03_Regulatory_Crosswalk.html</t>
        </is>
      </c>
    </row>
    <row r="102">
      <c r="A102" s="102" t="inlineStr">
        <is>
          <t>India</t>
        </is>
      </c>
      <c r="B102" s="102" t="inlineStr">
        <is>
          <t>IN11</t>
        </is>
      </c>
      <c r="C102" s="102" t="inlineStr">
        <is>
          <t>IT Act 2000 and SPDI Rules</t>
        </is>
      </c>
      <c r="D102" s="102" t="inlineStr">
        <is>
          <t>Binding law</t>
        </is>
      </c>
      <c r="E102" s="102" t="inlineStr">
        <is>
          <t>Existing law until DPDP fully commences</t>
        </is>
      </c>
      <c r="F102" s="102" t="inlineStr">
        <is>
          <t>AI-CTRL-005, AI-CTRL-013</t>
        </is>
      </c>
      <c r="G102" s="102" t="inlineStr">
        <is>
          <t>AI-R03, AI-R05, AI-R06, AI-R10, AI-R24, AI-R27, AI-R28</t>
        </is>
      </c>
      <c r="H102" s="102" t="inlineStr">
        <is>
          <t>Recalled</t>
        </is>
      </c>
      <c r="I102" s="102" t="inlineStr">
        <is>
          <t>Transition provisions</t>
        </is>
      </c>
      <c r="J102" s="102" t="inlineStr"/>
      <c r="K102" s="102" t="inlineStr">
        <is>
          <t>https://nachi065.github.io/AI-Security-Wiki/17_India_AI_Compliance/03_Regulatory_Crosswalk.html</t>
        </is>
      </c>
    </row>
    <row r="103">
      <c r="A103" s="6" t="inlineStr">
        <is>
          <t>India</t>
        </is>
      </c>
      <c r="B103" s="6" t="inlineStr">
        <is>
          <t>IN12</t>
        </is>
      </c>
      <c r="C103" s="6" t="inlineStr">
        <is>
          <t>IndiaAI Mission</t>
        </is>
      </c>
      <c r="D103" s="6" t="inlineStr">
        <is>
          <t>Context</t>
        </is>
      </c>
      <c r="E103" s="6" t="inlineStr">
        <is>
          <t>Programme (Mar 2024; INR 10,372 crore)</t>
        </is>
      </c>
      <c r="F103" s="6" t="inlineStr">
        <is>
          <t>None</t>
        </is>
      </c>
      <c r="G103" s="6" t="inlineStr">
        <is>
          <t>None</t>
        </is>
      </c>
      <c r="H103" s="6" t="inlineStr">
        <is>
          <t>Verified</t>
        </is>
      </c>
      <c r="I103" s="6" t="inlineStr">
        <is>
          <t>n/a</t>
        </is>
      </c>
      <c r="J103" s="6" t="inlineStr">
        <is>
          <t>Cabinet approval (PIB), retrieved 20 Oct 2026 (release of 7 Mar 2024; outlay Rs 10,371.92 crore)</t>
        </is>
      </c>
      <c r="K103" s="6" t="inlineStr">
        <is>
          <t>https://nachi065.github.io/AI-Security-Wiki/17_India_AI_Compliance/03_Regulatory_Crosswalk.html</t>
        </is>
      </c>
    </row>
    <row r="104">
      <c r="A104" s="102" t="inlineStr">
        <is>
          <t>India</t>
        </is>
      </c>
      <c r="B104" s="102" t="inlineStr">
        <is>
          <t>IN13</t>
        </is>
      </c>
      <c r="C104" s="102" t="inlineStr">
        <is>
          <t>SEBI guidelines on responsible use of AI and ML in securities markets</t>
        </is>
      </c>
      <c r="D104" s="102" t="inlineStr">
        <is>
          <t>Proposed</t>
        </is>
      </c>
      <c r="E104" s="102" t="inlineStr">
        <is>
          <t>Consultation paper of 20 Jun 2025; guidelines announced on 10 Oct 2026 as coming shortly, with a tiered approach, kill switches and human oversight</t>
        </is>
      </c>
      <c r="F104" s="102" t="inlineStr">
        <is>
          <t>AI-CTRL-011, AI-CTRL-012, AI-CTRL-014, AI-CTRL-025, AI-CTRL-045</t>
        </is>
      </c>
      <c r="G104" s="102" t="inlineStr">
        <is>
          <t>AI-R02, AI-R03, AI-R07, AI-R08, AI-R10, AI-R11, AI-R12, AI-R14, AI-R16, AI-R18, AI-R19, AI-R21, AI-R25, AI-R27, AI-R28, AI-R55</t>
        </is>
      </c>
      <c r="H104" s="102" t="inlineStr">
        <is>
          <t>Reported</t>
        </is>
      </c>
      <c r="I104" s="102" t="inlineStr">
        <is>
          <t>The consultation paper text; the final guidelines when issued</t>
        </is>
      </c>
      <c r="J104" s="102" t="inlineStr">
        <is>
          <t>Taxmann: SEBI consultation paper; newkerala: SEBI chairman, 10 Oct 2026, retrieved 25 Oct 2026 (secondary)</t>
        </is>
      </c>
      <c r="K104" s="102" t="inlineStr">
        <is>
          <t>https://nachi065.github.io/AI-Security-Wiki/17_India_AI_Compliance/03_Regulatory_Crosswalk.html</t>
        </is>
      </c>
    </row>
    <row r="105">
      <c r="A105" s="6" t="inlineStr">
        <is>
          <t>Japan</t>
        </is>
      </c>
      <c r="B105" s="6" t="inlineStr">
        <is>
          <t>JP1</t>
        </is>
      </c>
      <c r="C105" s="6" t="inlineStr">
        <is>
          <t>AI Promotion Act (Act No. 53 of 2025)</t>
        </is>
      </c>
      <c r="D105" s="6" t="inlineStr">
        <is>
          <t>Binding law</t>
        </is>
      </c>
      <c r="E105" s="6" t="inlineStr">
        <is>
          <t>Law; promulgated 4 Jun 2025, fully in force 1 Sep 2025. Businesses must cooperate with state measures; no penalties</t>
        </is>
      </c>
      <c r="F105" s="6" t="inlineStr">
        <is>
          <t>AI-CTRL-012</t>
        </is>
      </c>
      <c r="G105" s="6" t="inlineStr">
        <is>
          <t>AI-R02, AI-R03, AI-R18, AI-R19, AI-R27, AI-R28</t>
        </is>
      </c>
      <c r="H105" s="6" t="inlineStr">
        <is>
          <t>Verified</t>
        </is>
      </c>
      <c r="I105" s="6" t="inlineStr">
        <is>
          <t>Article text on e-Gov (could not be read automatically); whether there is a power to publish names</t>
        </is>
      </c>
      <c r="J105" s="6" t="inlineStr">
        <is>
          <t>Cabinet Office: AI Act page; Cabinet Office: AI Act overview (PDF), retrieved 22 Oct 2026 (the government gathers information, analyses cases and gives guidance and advice to businesses; the AI Strategy Headquarters adopted a guideline under Art. 13 on 19 Dec 2025)</t>
        </is>
      </c>
      <c r="K105" s="6" t="inlineStr">
        <is>
          <t>https://nachi065.github.io/AI-Security-Wiki/18_Japan_AI_Compliance/03_Regulatory_Crosswalk.html</t>
        </is>
      </c>
    </row>
    <row r="106">
      <c r="A106" s="102" t="inlineStr">
        <is>
          <t>Japan</t>
        </is>
      </c>
      <c r="B106" s="102" t="inlineStr">
        <is>
          <t>JP2</t>
        </is>
      </c>
      <c r="C106" s="102" t="inlineStr">
        <is>
          <t>AI Basic Plan</t>
        </is>
      </c>
      <c r="D106" s="102" t="inlineStr">
        <is>
          <t>Context</t>
        </is>
      </c>
      <c r="E106" s="102" t="inlineStr">
        <is>
          <t>Cabinet decision; adopted 14 Jul 2026, replacing the 23 Dec 2025 plan</t>
        </is>
      </c>
      <c r="F106" s="102" t="inlineStr">
        <is>
          <t>AI-CTRL-012</t>
        </is>
      </c>
      <c r="G106" s="102" t="inlineStr">
        <is>
          <t>AI-R02, AI-R03, AI-R18, AI-R19, AI-R27, AI-R28</t>
        </is>
      </c>
      <c r="H106" s="102" t="inlineStr">
        <is>
          <t>Verified</t>
        </is>
      </c>
      <c r="I106" s="102" t="inlineStr">
        <is>
          <t>Content (the plan text was not read)</t>
        </is>
      </c>
      <c r="J106" s="102" t="inlineStr">
        <is>
          <t>Cabinet Office: AI Basic Plan page; Cabinet Office: AI policy top page, retrieved 22 Oct 2026 (the 14 Jul 2026 plan is listed as current (Phase II); the 23 Dec 2025 plan is listed under past plans)</t>
        </is>
      </c>
      <c r="K106" s="102" t="inlineStr">
        <is>
          <t>https://nachi065.github.io/AI-Security-Wiki/18_Japan_AI_Compliance/03_Regulatory_Crosswalk.html</t>
        </is>
      </c>
    </row>
    <row r="107">
      <c r="A107" s="6" t="inlineStr">
        <is>
          <t>Japan</t>
        </is>
      </c>
      <c r="B107" s="6" t="inlineStr">
        <is>
          <t>JP3</t>
        </is>
      </c>
      <c r="C107" s="6" t="inlineStr">
        <is>
          <t>Guidelines for AI Business (MIC and METI), version 1.2 (31 Mar 2026)</t>
        </is>
      </c>
      <c r="D107" s="6" t="inlineStr">
        <is>
          <t>Guidance</t>
        </is>
      </c>
      <c r="E107" s="6" t="inlineStr">
        <is>
          <t>Non-binding</t>
        </is>
      </c>
      <c r="F107" s="6" t="inlineStr">
        <is>
          <t>AI-CTRL-012, AI-CTRL-037, AI-CTRL-039, AI-CTRL-041</t>
        </is>
      </c>
      <c r="G107" s="6" t="inlineStr">
        <is>
          <t>AI-R02, AI-R03, AI-R12, AI-R14, AI-R15, AI-R18, AI-R19, AI-R20, AI-R27, AI-R28, AI-R55</t>
        </is>
      </c>
      <c r="H107" s="6" t="inlineStr">
        <is>
          <t>Verified</t>
        </is>
      </c>
      <c r="I107" s="6" t="inlineStr">
        <is>
          <t>Nothing outstanding</t>
        </is>
      </c>
      <c r="J107" s="6" t="inlineStr">
        <is>
          <t>METI: AI Guidelines for Business version 1.2 page; METI: AI Guidelines for Business version 1.2 (PDF), retrieved 22 Oct 2026 (the text calls itself non-binding soft law; METI labels the English version a tentative translation)</t>
        </is>
      </c>
      <c r="K107" s="6" t="inlineStr">
        <is>
          <t>https://nachi065.github.io/AI-Security-Wiki/18_Japan_AI_Compliance/03_Regulatory_Crosswalk.html</t>
        </is>
      </c>
    </row>
    <row r="108">
      <c r="A108" s="102" t="inlineStr">
        <is>
          <t>Japan</t>
        </is>
      </c>
      <c r="B108" s="102" t="inlineStr">
        <is>
          <t>JP4</t>
        </is>
      </c>
      <c r="C108" s="102" t="inlineStr">
        <is>
          <t>Act on the Protection of Personal Information (APPI)</t>
        </is>
      </c>
      <c r="D108" s="102" t="inlineStr">
        <is>
          <t>Binding law</t>
        </is>
      </c>
      <c r="E108" s="102" t="inlineStr">
        <is>
          <t>Binding; amended by the 2026 APPI amendment law (passed 10 Jul 2026, promulgated 17 Jul 2026, in force within two years): consent exception for statistics including AI development, surcharges, rules for children under 16</t>
        </is>
      </c>
      <c r="F108" s="102" t="inlineStr">
        <is>
          <t>AI-CTRL-007, AI-CTRL-013, AI-CTRL-035</t>
        </is>
      </c>
      <c r="G108" s="102" t="inlineStr">
        <is>
          <t>AI-R03, AI-R09, AI-R10, AI-R20, AI-R27, AI-R28</t>
        </is>
      </c>
      <c r="H108" s="102" t="inlineStr">
        <is>
          <t>Verified</t>
        </is>
      </c>
      <c r="I108" s="102" t="inlineStr">
        <is>
          <t>Amendment law text and comparison table; PPC cabinet orders and rules (being drafted)</t>
        </is>
      </c>
      <c r="J108" s="102" t="inlineStr">
        <is>
          <t>PPC: 2026 amendment page; PPC: outline of the amendment law (PDF); PPC: press release, 7 Apr 2026; PPC: caution on generative AI services, 2 Jun 2023, retrieved 22 Oct 2026 (Cabinet decision and submission to the Diet 7 Apr 2026)</t>
        </is>
      </c>
      <c r="K108" s="102" t="inlineStr">
        <is>
          <t>https://nachi065.github.io/AI-Security-Wiki/18_Japan_AI_Compliance/03_Regulatory_Crosswalk.html</t>
        </is>
      </c>
    </row>
    <row r="109">
      <c r="A109" s="6" t="inlineStr">
        <is>
          <t>Japan</t>
        </is>
      </c>
      <c r="B109" s="6" t="inlineStr">
        <is>
          <t>JP5</t>
        </is>
      </c>
      <c r="C109" s="6" t="inlineStr">
        <is>
          <t>Copyright Act Art. 30-4 (information analysis exception)</t>
        </is>
      </c>
      <c r="D109" s="6" t="inlineStr">
        <is>
          <t>Binding law</t>
        </is>
      </c>
      <c r="E109" s="6" t="inlineStr">
        <is>
          <t>Binding</t>
        </is>
      </c>
      <c r="F109" s="6" t="inlineStr">
        <is>
          <t>AI-CTRL-029</t>
        </is>
      </c>
      <c r="G109" s="6" t="inlineStr">
        <is>
          <t>AI-R08</t>
        </is>
      </c>
      <c r="H109" s="6" t="inlineStr">
        <is>
          <t>Recalled</t>
        </is>
      </c>
      <c r="I109" s="6" t="inlineStr">
        <is>
          <t>Current interpretation and limits</t>
        </is>
      </c>
      <c r="J109" s="6" t="inlineStr"/>
      <c r="K109" s="6" t="inlineStr">
        <is>
          <t>https://nachi065.github.io/AI-Security-Wiki/18_Japan_AI_Compliance/03_Regulatory_Crosswalk.html</t>
        </is>
      </c>
    </row>
    <row r="110">
      <c r="A110" s="102" t="inlineStr">
        <is>
          <t>Japan</t>
        </is>
      </c>
      <c r="B110" s="102" t="inlineStr">
        <is>
          <t>JP6</t>
        </is>
      </c>
      <c r="C110" s="102" t="inlineStr">
        <is>
          <t>Sector rules (financial, medical devices, others)</t>
        </is>
      </c>
      <c r="D110" s="102" t="inlineStr">
        <is>
          <t>Binding in scope</t>
        </is>
      </c>
      <c r="E110" s="102" t="inlineStr">
        <is>
          <t>Binding</t>
        </is>
      </c>
      <c r="F110" s="102" t="inlineStr">
        <is>
          <t>AI-CTRL-014, AI-CTRL-037</t>
        </is>
      </c>
      <c r="G110" s="102" t="inlineStr">
        <is>
          <t>AI-R02, AI-R08, AI-R10, AI-R16, AI-R18, AI-R28, AI-R55</t>
        </is>
      </c>
      <c r="H110" s="102" t="inlineStr">
        <is>
          <t>Unverified</t>
        </is>
      </c>
      <c r="I110" s="102" t="inlineStr">
        <is>
          <t>Per sector</t>
        </is>
      </c>
      <c r="J110" s="102" t="inlineStr"/>
      <c r="K110" s="102" t="inlineStr">
        <is>
          <t>https://nachi065.github.io/AI-Security-Wiki/18_Japan_AI_Compliance/03_Regulatory_Crosswalk.html</t>
        </is>
      </c>
    </row>
    <row r="111">
      <c r="A111" s="6" t="inlineStr">
        <is>
          <t>Singapore</t>
        </is>
      </c>
      <c r="B111" s="6" t="inlineStr">
        <is>
          <t>SG1</t>
        </is>
      </c>
      <c r="C111" s="6" t="inlineStr">
        <is>
          <t>Model AI Governance Framework (2019; second edition 21 Jan 2020) and Model AI Governance Framework for Generative AI (30 May 2024)</t>
        </is>
      </c>
      <c r="D111" s="6" t="inlineStr">
        <is>
          <t>Voluntary</t>
        </is>
      </c>
      <c r="E111" s="6" t="inlineStr">
        <is>
          <t>Voluntary</t>
        </is>
      </c>
      <c r="F111" s="6" t="inlineStr">
        <is>
          <t>AI-CTRL-012, AI-CTRL-037, AI-CTRL-039</t>
        </is>
      </c>
      <c r="G111" s="6" t="inlineStr">
        <is>
          <t>AI-R02, AI-R03, AI-R12, AI-R14, AI-R18, AI-R19, AI-R20, AI-R27, AI-R28, AI-R55</t>
        </is>
      </c>
      <c r="H111" s="6" t="inlineStr">
        <is>
          <t>Verified</t>
        </is>
      </c>
      <c r="I111" s="6" t="inlineStr">
        <is>
          <t>First edition (2019) not read</t>
        </is>
      </c>
      <c r="J111" s="6" t="inlineStr">
        <is>
          <t>IMDA: Model AI Governance Framework, second edition; AI Verify Foundation: launch of the framework for generative AI, retrieved 21 Oct 2026</t>
        </is>
      </c>
      <c r="K111" s="6" t="inlineStr">
        <is>
          <t>https://nachi065.github.io/AI-Security-Wiki/19_Singapore_AI_Compliance/03_Regulatory_Crosswalk.html</t>
        </is>
      </c>
    </row>
    <row r="112">
      <c r="A112" s="102" t="inlineStr">
        <is>
          <t>Singapore</t>
        </is>
      </c>
      <c r="B112" s="102" t="inlineStr">
        <is>
          <t>SG2</t>
        </is>
      </c>
      <c r="C112" s="102" t="inlineStr">
        <is>
          <t>Model AI Governance Framework for Agentic AI (IMDA, 22 Jan 2026; updated 20 May 2026)</t>
        </is>
      </c>
      <c r="D112" s="102" t="inlineStr">
        <is>
          <t>Voluntary</t>
        </is>
      </c>
      <c r="E112" s="102" t="inlineStr">
        <is>
          <t>Voluntary</t>
        </is>
      </c>
      <c r="F112" s="102" t="inlineStr">
        <is>
          <t>AI-CTRL-005, AI-CTRL-023, AI-CTRL-025, AI-CTRL-037</t>
        </is>
      </c>
      <c r="G112" s="102" t="inlineStr">
        <is>
          <t>AI-R02, AI-R05, AI-R06, AI-R07, AI-R11, AI-R18, AI-R19, AI-R21, AI-R24, AI-R25, AI-R28, AI-R55</t>
        </is>
      </c>
      <c r="H112" s="102" t="inlineStr">
        <is>
          <t>Verified</t>
        </is>
      </c>
      <c r="I112" s="102" t="inlineStr">
        <is>
          <t>Whether the PDF at the stable address is the updated version (the copy read still shows version 1.0)</t>
        </is>
      </c>
      <c r="J112" s="102" t="inlineStr">
        <is>
          <t>IMDA: Model AI Governance Framework for Agentic AI; IMDA press release, 22 Jan 2026; IMDA factsheet, 20 May 2026, retrieved 21 Oct 2026 (the PDF cover says published 22 January 2026; an inside page says 19 January 2026)</t>
        </is>
      </c>
      <c r="K112" s="102" t="inlineStr">
        <is>
          <t>https://nachi065.github.io/AI-Security-Wiki/19_Singapore_AI_Compliance/03_Regulatory_Crosswalk.html</t>
        </is>
      </c>
    </row>
    <row r="113">
      <c r="A113" s="6" t="inlineStr">
        <is>
          <t>Singapore</t>
        </is>
      </c>
      <c r="B113" s="6" t="inlineStr">
        <is>
          <t>SG3</t>
        </is>
      </c>
      <c r="C113" s="6" t="inlineStr">
        <is>
          <t>AI Verify testing framework and toolkit; Global AI Assurance Pilot (Feb 2025)</t>
        </is>
      </c>
      <c r="D113" s="6" t="inlineStr">
        <is>
          <t>Voluntary</t>
        </is>
      </c>
      <c r="E113" s="6" t="inlineStr">
        <is>
          <t>Voluntary testing and assurance</t>
        </is>
      </c>
      <c r="F113" s="6" t="inlineStr">
        <is>
          <t>AI-CTRL-038, AI-CTRL-039</t>
        </is>
      </c>
      <c r="G113" s="6" t="inlineStr">
        <is>
          <t>AI-R09, AI-R12, AI-R14, AI-R15, AI-R20, AI-R28</t>
        </is>
      </c>
      <c r="H113" s="6" t="inlineStr">
        <is>
          <t>Verified</t>
        </is>
      </c>
      <c r="I113" s="6" t="inlineStr">
        <is>
          <t>The Global AI Assurance Sandbox that followed the pilot</t>
        </is>
      </c>
      <c r="J113" s="6" t="inlineStr">
        <is>
          <t>AI Verify Foundation: What is AI Verify; AI Verify Foundation: FAQ; IMDA press release, 11 Feb 2025; AI Verify Foundation: 2025 pilot phase, retrieved 21 Oct 2026</t>
        </is>
      </c>
      <c r="K113" s="6" t="inlineStr">
        <is>
          <t>https://nachi065.github.io/AI-Security-Wiki/19_Singapore_AI_Compliance/03_Regulatory_Crosswalk.html</t>
        </is>
      </c>
    </row>
    <row r="114">
      <c r="A114" s="102" t="inlineStr">
        <is>
          <t>Singapore</t>
        </is>
      </c>
      <c r="B114" s="102" t="inlineStr">
        <is>
          <t>SG4</t>
        </is>
      </c>
      <c r="C114" s="102" t="inlineStr">
        <is>
          <t>PDPA; PDPC Advisory Guidelines on use of Personal Data in AI Recommendation and Decision Systems, and on use of Personal Data in Generative AI</t>
        </is>
      </c>
      <c r="D114" s="102" t="inlineStr">
        <is>
          <t>Binding law</t>
        </is>
      </c>
      <c r="E114" s="102" t="inlineStr">
        <is>
          <t>Binding law; guidance</t>
        </is>
      </c>
      <c r="F114" s="102" t="inlineStr">
        <is>
          <t>AI-CTRL-007, AI-CTRL-013, AI-CTRL-017</t>
        </is>
      </c>
      <c r="G114" s="102" t="inlineStr">
        <is>
          <t>AI-R01, AI-R03, AI-R06, AI-R10, AI-R17, AI-R27, AI-R28</t>
        </is>
      </c>
      <c r="H114" s="102" t="inlineStr">
        <is>
          <t>Verified</t>
        </is>
      </c>
      <c r="I114" s="102" t="inlineStr">
        <is>
          <t>PDPA text</t>
        </is>
      </c>
      <c r="J114" s="102" t="inlineStr">
        <is>
          <t>PDPC: Advisory Guidelines on use of Personal Data in AI Recommendation and Decision Systems (issued 1 Mar 2024); PDPC: Advisory Guidelines on use of Personal Data in Generative AI (issued 20 Jul 2026), retrieved 21 Oct 2026 (the two guidelines were read, including the business improvement and research exceptions; the PDPA text itself was not read)</t>
        </is>
      </c>
      <c r="K114" s="102" t="inlineStr">
        <is>
          <t>https://nachi065.github.io/AI-Security-Wiki/19_Singapore_AI_Compliance/03_Regulatory_Crosswalk.html</t>
        </is>
      </c>
    </row>
    <row r="115">
      <c r="A115" s="6" t="inlineStr">
        <is>
          <t>Singapore</t>
        </is>
      </c>
      <c r="B115" s="6" t="inlineStr">
        <is>
          <t>SG5</t>
        </is>
      </c>
      <c r="C115" s="6" t="inlineStr">
        <is>
          <t>MAS Guidelines on Artificial Intelligence Risk Management (7 Oct 2026)</t>
        </is>
      </c>
      <c r="D115" s="6" t="inlineStr">
        <is>
          <t>Guidance</t>
        </is>
      </c>
      <c r="E115" s="6" t="inlineStr">
        <is>
          <t>Issued 7 Oct 2026; sets out supervisory expectations. Takes effect 7 Oct 2027 for Sections 3 and 4, and 7 Oct 2028 for Sections 5 and 6</t>
        </is>
      </c>
      <c r="F115" s="6" t="inlineStr">
        <is>
          <t>AI-CTRL-001, AI-CTRL-005, AI-CTRL-006, AI-CTRL-008, AI-CTRL-009, AI-CTRL-010, AI-CTRL-011, AI-CTRL-012, AI-CTRL-013, AI-CTRL-014, AI-CTRL-016, AI-CTRL-017, AI-CTRL-023, AI-CTRL-024, AI-CTRL-025, AI-CTRL-028, AI-CTRL-029, AI-CTRL-030, AI-CTRL-031, AI-CTRL-032, AI-CTRL-033, AI-CTRL-034, AI-CTRL-035, AI-CTRL-037, AI-CTRL-038, AI-CTRL-039, AI-CTRL-040, AI-CTRL-041, AI-CTRL-044, AI-CTRL-045</t>
        </is>
      </c>
      <c r="G115" s="6" t="inlineStr">
        <is>
          <t>AI-R01, AI-R02, AI-R03, AI-R05, AI-R06, AI-R07, AI-R08, AI-R09, AI-R10, AI-R11, AI-R12, AI-R13, AI-R14, AI-R15, AI-R16, AI-R17, AI-R18, AI-R19, AI-R20, AI-R21, AI-R22, AI-R23, AI-R24, AI-R25, AI-R26, AI-R27, AI-R28, AI-R55</t>
        </is>
      </c>
      <c r="H115" s="6" t="inlineStr">
        <is>
          <t>Verified</t>
        </is>
      </c>
      <c r="I115" s="6" t="inlineStr">
        <is>
          <t>Sector notices and other MAS guidelines that the Guidelines refer to</t>
        </is>
      </c>
      <c r="J115" s="6" t="inlineStr">
        <is>
          <t>MAS: Guidelines on Artificial Intelligence Risk Management for Financial Institutions, retrieved 10 Oct 2026</t>
        </is>
      </c>
      <c r="K115" s="6" t="inlineStr">
        <is>
          <t>https://nachi065.github.io/AI-Security-Wiki/19_Singapore_AI_Compliance/03_Regulatory_Crosswalk.html</t>
        </is>
      </c>
    </row>
    <row r="116">
      <c r="A116" s="102" t="inlineStr">
        <is>
          <t>Singapore</t>
        </is>
      </c>
      <c r="B116" s="102" t="inlineStr">
        <is>
          <t>SG6</t>
        </is>
      </c>
      <c r="C116" s="102" t="inlineStr">
        <is>
          <t>MAS FEAT principles and Veritas</t>
        </is>
      </c>
      <c r="D116" s="102" t="inlineStr">
        <is>
          <t>Voluntary</t>
        </is>
      </c>
      <c r="E116" s="102" t="inlineStr">
        <is>
          <t>Voluntary financial-sector principles; the MAS Guidelines of 7 Oct 2026 say they continue to apply (para 1.2)</t>
        </is>
      </c>
      <c r="F116" s="102" t="inlineStr">
        <is>
          <t>AI-CTRL-041</t>
        </is>
      </c>
      <c r="G116" s="102" t="inlineStr">
        <is>
          <t>AI-R12, AI-R14, AI-R15</t>
        </is>
      </c>
      <c r="H116" s="102" t="inlineStr">
        <is>
          <t>Verified</t>
        </is>
      </c>
      <c r="I116" s="102" t="inlineStr">
        <is>
          <t>Veritas concluded its third phase on 26 Jun 2023 (MAS Veritas page); the FEAT document itself not read</t>
        </is>
      </c>
      <c r="J116" s="102" t="inlineStr">
        <is>
          <t>MAS: FEAT principles; MAS Guidelines, para 1.2, retrieved 10 Oct 2026; MAS: Veritas, retrieved 21 Oct 2026 (status checked in the MAS Guidelines; the FEAT document itself was not read)</t>
        </is>
      </c>
      <c r="K116" s="102" t="inlineStr">
        <is>
          <t>https://nachi065.github.io/AI-Security-Wiki/19_Singapore_AI_Compliance/03_Regulatory_Crosswalk.html</t>
        </is>
      </c>
    </row>
    <row r="117">
      <c r="A117" s="6" t="inlineStr">
        <is>
          <t>Singapore</t>
        </is>
      </c>
      <c r="B117" s="6" t="inlineStr">
        <is>
          <t>SG7</t>
        </is>
      </c>
      <c r="C117" s="6" t="inlineStr">
        <is>
          <t>CSA Guidelines and Companion Guide on Securing AI Systems (2024) and agentic addendum (17 Jun 2026)</t>
        </is>
      </c>
      <c r="D117" s="6" t="inlineStr">
        <is>
          <t>Voluntary</t>
        </is>
      </c>
      <c r="E117" s="6" t="inlineStr">
        <is>
          <t>Voluntary</t>
        </is>
      </c>
      <c r="F117" s="6" t="inlineStr">
        <is>
          <t>AI-CTRL-005, AI-CTRL-008, AI-CTRL-025</t>
        </is>
      </c>
      <c r="G117" s="6" t="inlineStr">
        <is>
          <t>AI-R05, AI-R06, AI-R07, AI-R09, AI-R11, AI-R15, AI-R21, AI-R24, AI-R25, AI-R26, AI-R55</t>
        </is>
      </c>
      <c r="H117" s="6" t="inlineStr">
        <is>
          <t>Verified</t>
        </is>
      </c>
      <c r="I117" s="6" t="inlineStr">
        <is>
          <t>Full text of the guidelines and addendum</t>
        </is>
      </c>
      <c r="J117" s="6" t="inlineStr">
        <is>
          <t>CSA: Securing Agentic AI, an Addendum to the Guidelines and Companion Guide on Securing AI Systems; CSA press release, 22 Oct 2025, retrieved 21 Oct 2026 (dates and consultation period checked; the CSA pages do not use the word voluntary, they describe measures that system owners may consider)</t>
        </is>
      </c>
      <c r="K117" s="6" t="inlineStr">
        <is>
          <t>https://nachi065.github.io/AI-Security-Wiki/19_Singapore_AI_Compliance/03_Regulatory_Crosswalk.html</t>
        </is>
      </c>
    </row>
    <row r="118">
      <c r="A118" s="102" t="inlineStr">
        <is>
          <t>Singapore</t>
        </is>
      </c>
      <c r="B118" s="102" t="inlineStr">
        <is>
          <t>SG8</t>
        </is>
      </c>
      <c r="C118" s="102" t="inlineStr">
        <is>
          <t>Cybersecurity Act (critical information infrastructure)</t>
        </is>
      </c>
      <c r="D118" s="102" t="inlineStr">
        <is>
          <t>Binding in scope</t>
        </is>
      </c>
      <c r="E118" s="102" t="inlineStr">
        <is>
          <t>Binding</t>
        </is>
      </c>
      <c r="F118" s="102" t="inlineStr">
        <is>
          <t>AI-CTRL-005, AI-CTRL-035</t>
        </is>
      </c>
      <c r="G118" s="102" t="inlineStr">
        <is>
          <t>AI-R05, AI-R06, AI-R09, AI-R20, AI-R24</t>
        </is>
      </c>
      <c r="H118" s="102" t="inlineStr">
        <is>
          <t>Recalled</t>
        </is>
      </c>
      <c r="I118" s="102" t="inlineStr">
        <is>
          <t>Scope</t>
        </is>
      </c>
      <c r="J118" s="102" t="inlineStr"/>
      <c r="K118" s="102" t="inlineStr">
        <is>
          <t>https://nachi065.github.io/AI-Security-Wiki/19_Singapore_AI_Compliance/03_Regulatory_Crosswalk.html</t>
        </is>
      </c>
    </row>
    <row r="119">
      <c r="A119" s="6" t="inlineStr">
        <is>
          <t>Singapore</t>
        </is>
      </c>
      <c r="B119" s="6" t="inlineStr">
        <is>
          <t>MAS 1.6, 2.1 to 2.2</t>
        </is>
      </c>
      <c r="C119" s="6" t="inlineStr">
        <is>
          <t>Apply the Guidelines in proportion to the institution's size and activities and to the risk materiality of each AI use case</t>
        </is>
      </c>
      <c r="D119" s="6" t="inlineStr"/>
      <c r="E119" s="6" t="inlineStr"/>
      <c r="F119" s="6" t="inlineStr">
        <is>
          <t>AI-CTRL-011, AI-CTRL-037</t>
        </is>
      </c>
      <c r="G119" s="6" t="inlineStr">
        <is>
          <t>AI-R02, AI-R18, AI-R28, AI-R55</t>
        </is>
      </c>
      <c r="H119" s="6" t="inlineStr">
        <is>
          <t>Direct</t>
        </is>
      </c>
      <c r="I119" s="6" t="inlineStr"/>
      <c r="J119" s="6" t="inlineStr"/>
      <c r="K119" s="6" t="inlineStr">
        <is>
          <t>https://nachi065.github.io/AI-Security-Wiki/19_Singapore_AI_Compliance/03_Regulatory_Crosswalk.html</t>
        </is>
      </c>
    </row>
    <row r="120">
      <c r="A120" s="102" t="inlineStr">
        <is>
          <t>Singapore</t>
        </is>
      </c>
      <c r="B120" s="102" t="inlineStr">
        <is>
          <t>MAS 2.3 to 2.5</t>
        </is>
      </c>
      <c r="C120" s="102" t="inlineStr">
        <is>
          <t>Basic governance where an AI failure is unlikely to have a material impact: a named senior manager, permitted and prohibited uses, human review of outputs, an approved list of AI tools, staff education, compliance checks and periodic review</t>
        </is>
      </c>
      <c r="D120" s="102" t="inlineStr"/>
      <c r="E120" s="102" t="inlineStr"/>
      <c r="F120" s="102" t="inlineStr">
        <is>
          <t>AI-CTRL-001, AI-CTRL-010, AI-CTRL-012, AI-CTRL-044</t>
        </is>
      </c>
      <c r="G120" s="102" t="inlineStr">
        <is>
          <t>AI-R01, AI-R02, AI-R03, AI-R18, AI-R19, AI-R27, AI-R28</t>
        </is>
      </c>
      <c r="H120" s="102" t="inlineStr">
        <is>
          <t>Direct</t>
        </is>
      </c>
      <c r="I120" s="102" t="inlineStr"/>
      <c r="J120" s="102" t="inlineStr"/>
      <c r="K120" s="102" t="inlineStr">
        <is>
          <t>https://nachi065.github.io/AI-Security-Wiki/19_Singapore_AI_Compliance/03_Regulatory_Crosswalk.html</t>
        </is>
      </c>
    </row>
    <row r="121">
      <c r="A121" s="6" t="inlineStr">
        <is>
          <t>Singapore</t>
        </is>
      </c>
      <c r="B121" s="6" t="inlineStr">
        <is>
          <t>MAS 3.1 to 3.4</t>
        </is>
      </c>
      <c r="C121" s="6" t="inlineStr">
        <is>
          <t>The board approves and reviews the governance approach for AI risk, addresses AI in the risk appetite framework and understands AI well enough to challenge</t>
        </is>
      </c>
      <c r="D121" s="6" t="inlineStr"/>
      <c r="E121" s="6" t="inlineStr"/>
      <c r="F121" s="6" t="inlineStr">
        <is>
          <t>AI-CTRL-012, AI-CTRL-037</t>
        </is>
      </c>
      <c r="G121" s="6" t="inlineStr">
        <is>
          <t>AI-R02, AI-R03, AI-R18, AI-R19, AI-R27, AI-R28, AI-R55</t>
        </is>
      </c>
      <c r="H121" s="6" t="inlineStr">
        <is>
          <t>Partial</t>
        </is>
      </c>
      <c r="I121" s="6" t="inlineStr"/>
      <c r="J121" s="6" t="inlineStr"/>
      <c r="K121" s="6" t="inlineStr">
        <is>
          <t>https://nachi065.github.io/AI-Security-Wiki/19_Singapore_AI_Compliance/03_Regulatory_Crosswalk.html</t>
        </is>
      </c>
    </row>
    <row r="122">
      <c r="A122" s="102" t="inlineStr">
        <is>
          <t>Singapore</t>
        </is>
      </c>
      <c r="B122" s="102" t="inlineStr">
        <is>
          <t>MAS 3.5</t>
        </is>
      </c>
      <c r="C122" s="102" t="inlineStr">
        <is>
          <t>Senior management implements the framework, assigns roles across business lines and control functions, escalates AI incidents and threshold breaches, and resources AI risk management</t>
        </is>
      </c>
      <c r="D122" s="102" t="inlineStr"/>
      <c r="E122" s="102" t="inlineStr"/>
      <c r="F122" s="102" t="inlineStr">
        <is>
          <t>AI-CTRL-012, AI-CTRL-035, AI-CTRL-044</t>
        </is>
      </c>
      <c r="G122" s="102" t="inlineStr">
        <is>
          <t>AI-R02, AI-R03, AI-R09, AI-R18, AI-R19, AI-R20, AI-R27, AI-R28</t>
        </is>
      </c>
      <c r="H122" s="102" t="inlineStr">
        <is>
          <t>Direct</t>
        </is>
      </c>
      <c r="I122" s="102" t="inlineStr"/>
      <c r="J122" s="102" t="inlineStr"/>
      <c r="K122" s="102" t="inlineStr">
        <is>
          <t>https://nachi065.github.io/AI-Security-Wiki/19_Singapore_AI_Compliance/03_Regulatory_Crosswalk.html</t>
        </is>
      </c>
    </row>
    <row r="123">
      <c r="A123" s="6" t="inlineStr">
        <is>
          <t>Singapore</t>
        </is>
      </c>
      <c r="B123" s="6" t="inlineStr">
        <is>
          <t>MAS 1.5, 3.6</t>
        </is>
      </c>
      <c r="C123" s="6" t="inlineStr">
        <is>
          <t>Local senior management stays accountable where a group framework is used</t>
        </is>
      </c>
      <c r="D123" s="6" t="inlineStr"/>
      <c r="E123" s="6" t="inlineStr"/>
      <c r="F123" s="6" t="inlineStr">
        <is>
          <t>AI-CTRL-012</t>
        </is>
      </c>
      <c r="G123" s="6" t="inlineStr">
        <is>
          <t>AI-R02, AI-R03, AI-R18, AI-R19, AI-R27, AI-R28</t>
        </is>
      </c>
      <c r="H123" s="6" t="inlineStr">
        <is>
          <t>Partial</t>
        </is>
      </c>
      <c r="I123" s="6" t="inlineStr"/>
      <c r="J123" s="6" t="inlineStr"/>
      <c r="K123" s="6" t="inlineStr">
        <is>
          <t>https://nachi065.github.io/AI-Security-Wiki/19_Singapore_AI_Compliance/03_Regulatory_Crosswalk.html</t>
        </is>
      </c>
    </row>
    <row r="124">
      <c r="A124" s="102" t="inlineStr">
        <is>
          <t>Singapore</t>
        </is>
      </c>
      <c r="B124" s="102" t="inlineStr">
        <is>
          <t>MAS 4.2 to 4.4</t>
        </is>
      </c>
      <c r="C124" s="102" t="inlineStr">
        <is>
          <t>Identify AI use consistently across the institution, including AI inside third-party services and shadow AI, under a designated control function</t>
        </is>
      </c>
      <c r="D124" s="102" t="inlineStr"/>
      <c r="E124" s="102" t="inlineStr"/>
      <c r="F124" s="102" t="inlineStr">
        <is>
          <t>AI-CTRL-001, AI-CTRL-011</t>
        </is>
      </c>
      <c r="G124" s="102" t="inlineStr">
        <is>
          <t>AI-R02, AI-R18</t>
        </is>
      </c>
      <c r="H124" s="102" t="inlineStr">
        <is>
          <t>Direct</t>
        </is>
      </c>
      <c r="I124" s="102" t="inlineStr"/>
      <c r="J124" s="102" t="inlineStr"/>
      <c r="K124" s="102" t="inlineStr">
        <is>
          <t>https://nachi065.github.io/AI-Security-Wiki/19_Singapore_AI_Compliance/03_Regulatory_Crosswalk.html</t>
        </is>
      </c>
    </row>
    <row r="125">
      <c r="A125" s="6" t="inlineStr">
        <is>
          <t>Singapore</t>
        </is>
      </c>
      <c r="B125" s="6" t="inlineStr">
        <is>
          <t>MAS 4.5 to 4.9</t>
        </is>
      </c>
      <c r="C125" s="6" t="inlineStr">
        <is>
          <t>Keep an accurate AI inventory with key attributes, linked to other inventories, with agent-specific attributes where relevant</t>
        </is>
      </c>
      <c r="D125" s="6" t="inlineStr"/>
      <c r="E125" s="6" t="inlineStr"/>
      <c r="F125" s="6" t="inlineStr">
        <is>
          <t>AI-CTRL-006, AI-CTRL-011</t>
        </is>
      </c>
      <c r="G125" s="6" t="inlineStr">
        <is>
          <t>AI-R02, AI-R07, AI-R18, AI-R25</t>
        </is>
      </c>
      <c r="H125" s="6" t="inlineStr">
        <is>
          <t>Direct</t>
        </is>
      </c>
      <c r="I125" s="6" t="inlineStr"/>
      <c r="J125" s="6" t="inlineStr"/>
      <c r="K125" s="6" t="inlineStr">
        <is>
          <t>https://nachi065.github.io/AI-Security-Wiki/19_Singapore_AI_Compliance/03_Regulatory_Crosswalk.html</t>
        </is>
      </c>
    </row>
    <row r="126">
      <c r="A126" s="102" t="inlineStr">
        <is>
          <t>Singapore</t>
        </is>
      </c>
      <c r="B126" s="102" t="inlineStr">
        <is>
          <t>MAS 4.10 to 4.13</t>
        </is>
      </c>
      <c r="C126" s="102" t="inlineStr">
        <is>
          <t>Assess the risk materiality of each use case on impact, complexity and reliance, before and after controls, with a control function approving the rating</t>
        </is>
      </c>
      <c r="D126" s="102" t="inlineStr"/>
      <c r="E126" s="102" t="inlineStr"/>
      <c r="F126" s="102" t="inlineStr">
        <is>
          <t>AI-CTRL-011, AI-CTRL-037</t>
        </is>
      </c>
      <c r="G126" s="102" t="inlineStr">
        <is>
          <t>AI-R02, AI-R18, AI-R28, AI-R55</t>
        </is>
      </c>
      <c r="H126" s="102" t="inlineStr">
        <is>
          <t>Direct</t>
        </is>
      </c>
      <c r="I126" s="102" t="inlineStr"/>
      <c r="J126" s="102" t="inlineStr"/>
      <c r="K126" s="102" t="inlineStr">
        <is>
          <t>https://nachi065.github.io/AI-Security-Wiki/19_Singapore_AI_Compliance/03_Regulatory_Crosswalk.html</t>
        </is>
      </c>
    </row>
    <row r="127">
      <c r="A127" s="6" t="inlineStr">
        <is>
          <t>Singapore</t>
        </is>
      </c>
      <c r="B127" s="6" t="inlineStr">
        <is>
          <t>MAS 5.3</t>
        </is>
      </c>
      <c r="C127" s="6" t="inlineStr">
        <is>
          <t>Contingency plans and fallback for high-risk use cases, and tested activation of kill switches</t>
        </is>
      </c>
      <c r="D127" s="6" t="inlineStr"/>
      <c r="E127" s="6" t="inlineStr"/>
      <c r="F127" s="6" t="inlineStr">
        <is>
          <t>AI-CTRL-025, AI-CTRL-040</t>
        </is>
      </c>
      <c r="G127" s="6" t="inlineStr">
        <is>
          <t>AI-R07, AI-R11, AI-R13, AI-R16, AI-R21, AI-R25, AI-R55</t>
        </is>
      </c>
      <c r="H127" s="6" t="inlineStr">
        <is>
          <t>Direct</t>
        </is>
      </c>
      <c r="I127" s="6" t="inlineStr"/>
      <c r="J127" s="6" t="inlineStr"/>
      <c r="K127" s="6" t="inlineStr">
        <is>
          <t>https://nachi065.github.io/AI-Security-Wiki/19_Singapore_AI_Compliance/03_Regulatory_Crosswalk.html</t>
        </is>
      </c>
    </row>
    <row r="128">
      <c r="A128" s="102" t="inlineStr">
        <is>
          <t>Singapore</t>
        </is>
      </c>
      <c r="B128" s="102" t="inlineStr">
        <is>
          <t>MAS 5.4</t>
        </is>
      </c>
      <c r="C128" s="102" t="inlineStr">
        <is>
          <t>Data management: fitness for purpose, representativeness, quality, classification, security, privacy, and auditability and lineage</t>
        </is>
      </c>
      <c r="D128" s="102" t="inlineStr"/>
      <c r="E128" s="102" t="inlineStr"/>
      <c r="F128" s="102" t="inlineStr">
        <is>
          <t>AI-CTRL-013, AI-CTRL-017, AI-CTRL-029</t>
        </is>
      </c>
      <c r="G128" s="102" t="inlineStr">
        <is>
          <t>AI-R01, AI-R03, AI-R06, AI-R08, AI-R10, AI-R17, AI-R27, AI-R28</t>
        </is>
      </c>
      <c r="H128" s="102" t="inlineStr">
        <is>
          <t>Direct</t>
        </is>
      </c>
      <c r="I128" s="102" t="inlineStr"/>
      <c r="J128" s="102" t="inlineStr"/>
      <c r="K128" s="102" t="inlineStr">
        <is>
          <t>https://nachi065.github.io/AI-Security-Wiki/19_Singapore_AI_Compliance/03_Regulatory_Crosswalk.html</t>
        </is>
      </c>
    </row>
    <row r="129">
      <c r="A129" s="6" t="inlineStr">
        <is>
          <t>Singapore</t>
        </is>
      </c>
      <c r="B129" s="6" t="inlineStr">
        <is>
          <t>MAS 5.5 to 5.6</t>
        </is>
      </c>
      <c r="C129" s="6" t="inlineStr">
        <is>
          <t>Transparency and explainability matched to the use case and its audience, with customer notice and redress for high-impact decisions</t>
        </is>
      </c>
      <c r="D129" s="6" t="inlineStr"/>
      <c r="E129" s="6" t="inlineStr"/>
      <c r="F129" s="6" t="inlineStr">
        <is>
          <t>AI-CTRL-039, AI-CTRL-041</t>
        </is>
      </c>
      <c r="G129" s="6" t="inlineStr">
        <is>
          <t>AI-R12, AI-R14, AI-R15, AI-R20</t>
        </is>
      </c>
      <c r="H129" s="6" t="inlineStr">
        <is>
          <t>Direct</t>
        </is>
      </c>
      <c r="I129" s="6" t="inlineStr"/>
      <c r="J129" s="6" t="inlineStr"/>
      <c r="K129" s="6" t="inlineStr">
        <is>
          <t>https://nachi065.github.io/AI-Security-Wiki/19_Singapore_AI_Compliance/03_Regulatory_Crosswalk.html</t>
        </is>
      </c>
    </row>
    <row r="130">
      <c r="A130" s="102" t="inlineStr">
        <is>
          <t>Singapore</t>
        </is>
      </c>
      <c r="B130" s="102" t="inlineStr">
        <is>
          <t>MAS 5.7 to 5.8</t>
        </is>
      </c>
      <c r="C130" s="102" t="inlineStr">
        <is>
          <t>Define fair outcomes, run fairness assessments that consider protected attributes and their proxies, and document mitigation</t>
        </is>
      </c>
      <c r="D130" s="102" t="inlineStr"/>
      <c r="E130" s="102" t="inlineStr"/>
      <c r="F130" s="102" t="inlineStr">
        <is>
          <t>AI-CTRL-041</t>
        </is>
      </c>
      <c r="G130" s="102" t="inlineStr">
        <is>
          <t>AI-R12, AI-R14, AI-R15</t>
        </is>
      </c>
      <c r="H130" s="102" t="inlineStr">
        <is>
          <t>Direct</t>
        </is>
      </c>
      <c r="I130" s="102" t="inlineStr"/>
      <c r="J130" s="102" t="inlineStr"/>
      <c r="K130" s="102" t="inlineStr">
        <is>
          <t>https://nachi065.github.io/AI-Security-Wiki/19_Singapore_AI_Compliance/03_Regulatory_Crosswalk.html</t>
        </is>
      </c>
    </row>
    <row r="131">
      <c r="A131" s="6" t="inlineStr">
        <is>
          <t>Singapore</t>
        </is>
      </c>
      <c r="B131" s="6" t="inlineStr">
        <is>
          <t>MAS 5.9</t>
        </is>
      </c>
      <c r="C131" s="6" t="inlineStr">
        <is>
          <t>Human oversight: assigned roles, competent overseers with authority to intervene, design that supports oversight, and review of interventions and near misses</t>
        </is>
      </c>
      <c r="D131" s="6" t="inlineStr"/>
      <c r="E131" s="6" t="inlineStr"/>
      <c r="F131" s="6" t="inlineStr">
        <is>
          <t>AI-CTRL-023, AI-CTRL-045</t>
        </is>
      </c>
      <c r="G131" s="6" t="inlineStr">
        <is>
          <t>AI-R07, AI-R12, AI-R14, AI-R18, AI-R19, AI-R28</t>
        </is>
      </c>
      <c r="H131" s="6" t="inlineStr">
        <is>
          <t>Direct</t>
        </is>
      </c>
      <c r="I131" s="6" t="inlineStr"/>
      <c r="J131" s="6" t="inlineStr"/>
      <c r="K131" s="6" t="inlineStr">
        <is>
          <t>https://nachi065.github.io/AI-Security-Wiki/19_Singapore_AI_Compliance/03_Regulatory_Crosswalk.html</t>
        </is>
      </c>
    </row>
    <row r="132">
      <c r="A132" s="102" t="inlineStr">
        <is>
          <t>Singapore</t>
        </is>
      </c>
      <c r="B132" s="102" t="inlineStr">
        <is>
          <t>MAS 5.10 to 5.11</t>
        </is>
      </c>
      <c r="C132" s="102" t="inlineStr">
        <is>
          <t>Third-party AI: test it in the institution's own context, secure contractual visibility of changes, assess the supply chain and concentration risk, plan for failure and keep a right to audit</t>
        </is>
      </c>
      <c r="D132" s="102" t="inlineStr"/>
      <c r="E132" s="102" t="inlineStr"/>
      <c r="F132" s="102" t="inlineStr">
        <is>
          <t>AI-CTRL-014, AI-CTRL-031, AI-CTRL-040</t>
        </is>
      </c>
      <c r="G132" s="102" t="inlineStr">
        <is>
          <t>AI-R08, AI-R10, AI-R13, AI-R16, AI-R23</t>
        </is>
      </c>
      <c r="H132" s="102" t="inlineStr">
        <is>
          <t>Direct</t>
        </is>
      </c>
      <c r="I132" s="102" t="inlineStr"/>
      <c r="J132" s="102" t="inlineStr"/>
      <c r="K132" s="102" t="inlineStr">
        <is>
          <t>https://nachi065.github.io/AI-Security-Wiki/19_Singapore_AI_Compliance/03_Regulatory_Crosswalk.html</t>
        </is>
      </c>
    </row>
    <row r="133">
      <c r="A133" s="6" t="inlineStr">
        <is>
          <t>Singapore</t>
        </is>
      </c>
      <c r="B133" s="6" t="inlineStr">
        <is>
          <t>MAS 5.12 to 5.13</t>
        </is>
      </c>
      <c r="C133" s="6" t="inlineStr">
        <is>
          <t>Document why an AI system, model or feature was selected over simpler alternatives</t>
        </is>
      </c>
      <c r="D133" s="6" t="inlineStr"/>
      <c r="E133" s="6" t="inlineStr"/>
      <c r="F133" s="6" t="inlineStr">
        <is>
          <t>AI-CTRL-033</t>
        </is>
      </c>
      <c r="G133" s="6" t="inlineStr">
        <is>
          <t>AI-R05, AI-R07, AI-R08, AI-R14, AI-R16, AI-R55</t>
        </is>
      </c>
      <c r="H133" s="6" t="inlineStr">
        <is>
          <t>Partial</t>
        </is>
      </c>
      <c r="I133" s="6" t="inlineStr"/>
      <c r="J133" s="6" t="inlineStr"/>
      <c r="K133" s="6" t="inlineStr">
        <is>
          <t>https://nachi065.github.io/AI-Security-Wiki/19_Singapore_AI_Compliance/03_Regulatory_Crosswalk.html</t>
        </is>
      </c>
    </row>
    <row r="134">
      <c r="A134" s="102" t="inlineStr">
        <is>
          <t>Singapore</t>
        </is>
      </c>
      <c r="B134" s="102" t="inlineStr">
        <is>
          <t>MAS 5.14 to 5.15</t>
        </is>
      </c>
      <c r="C134" s="102" t="inlineStr">
        <is>
          <t>Evaluation and testing against measurable thresholds, including stress, adversarial and sub-population tests; guardrails for known limitations; failure modes of generative AI and AI agents</t>
        </is>
      </c>
      <c r="D134" s="102" t="inlineStr"/>
      <c r="E134" s="102" t="inlineStr"/>
      <c r="F134" s="102" t="inlineStr">
        <is>
          <t>AI-CTRL-034, AI-CTRL-039, AI-CTRL-041</t>
        </is>
      </c>
      <c r="G134" s="102" t="inlineStr">
        <is>
          <t>AI-R05, AI-R07, AI-R12, AI-R14, AI-R15, AI-R16, AI-R17, AI-R20</t>
        </is>
      </c>
      <c r="H134" s="102" t="inlineStr">
        <is>
          <t>Partial</t>
        </is>
      </c>
      <c r="I134" s="102" t="inlineStr"/>
      <c r="J134" s="102" t="inlineStr"/>
      <c r="K134" s="102" t="inlineStr">
        <is>
          <t>https://nachi065.github.io/AI-Security-Wiki/19_Singapore_AI_Compliance/03_Regulatory_Crosswalk.html</t>
        </is>
      </c>
    </row>
    <row r="135">
      <c r="A135" s="6" t="inlineStr">
        <is>
          <t>Singapore</t>
        </is>
      </c>
      <c r="B135" s="6" t="inlineStr">
        <is>
          <t>MAS 5.16</t>
        </is>
      </c>
      <c r="C135" s="6" t="inlineStr">
        <is>
          <t>Technology and cybersecurity controls: secured environments, access control and separation of duties, and governance of third-party components</t>
        </is>
      </c>
      <c r="D135" s="6" t="inlineStr"/>
      <c r="E135" s="6" t="inlineStr"/>
      <c r="F135" s="6" t="inlineStr">
        <is>
          <t>AI-CTRL-005, AI-CTRL-016, AI-CTRL-024, AI-CTRL-032</t>
        </is>
      </c>
      <c r="G135" s="6" t="inlineStr">
        <is>
          <t>AI-R05, AI-R06, AI-R07, AI-R08, AI-R10, AI-R22, AI-R23, AI-R24</t>
        </is>
      </c>
      <c r="H135" s="6" t="inlineStr">
        <is>
          <t>Direct</t>
        </is>
      </c>
      <c r="I135" s="6" t="inlineStr"/>
      <c r="J135" s="6" t="inlineStr"/>
      <c r="K135" s="6" t="inlineStr">
        <is>
          <t>https://nachi065.github.io/AI-Security-Wiki/19_Singapore_AI_Compliance/03_Regulatory_Crosswalk.html</t>
        </is>
      </c>
    </row>
    <row r="136">
      <c r="A136" s="102" t="inlineStr">
        <is>
          <t>Singapore</t>
        </is>
      </c>
      <c r="B136" s="102" t="inlineStr">
        <is>
          <t>MAS 5.17</t>
        </is>
      </c>
      <c r="C136" s="102" t="inlineStr">
        <is>
          <t>Document development so that an independent party can understand and reproduce it</t>
        </is>
      </c>
      <c r="D136" s="102" t="inlineStr"/>
      <c r="E136" s="102" t="inlineStr"/>
      <c r="F136" s="102" t="inlineStr">
        <is>
          <t>AI-CTRL-030, AI-CTRL-038</t>
        </is>
      </c>
      <c r="G136" s="102" t="inlineStr">
        <is>
          <t>AI-R08, AI-R09, AI-R15, AI-R28</t>
        </is>
      </c>
      <c r="H136" s="102" t="inlineStr">
        <is>
          <t>Direct</t>
        </is>
      </c>
      <c r="I136" s="102" t="inlineStr"/>
      <c r="J136" s="102" t="inlineStr"/>
      <c r="K136" s="102" t="inlineStr">
        <is>
          <t>https://nachi065.github.io/AI-Security-Wiki/19_Singapore_AI_Compliance/03_Regulatory_Crosswalk.html</t>
        </is>
      </c>
    </row>
    <row r="137">
      <c r="A137" s="6" t="inlineStr">
        <is>
          <t>Singapore</t>
        </is>
      </c>
      <c r="B137" s="6" t="inlineStr">
        <is>
          <t>MAS 5.18 to 5.21</t>
        </is>
      </c>
      <c r="C137" s="6" t="inlineStr">
        <is>
          <t>Review before deployment by people not involved in development, formal independent validation for high-risk use cases, and findings reported to the approval body</t>
        </is>
      </c>
      <c r="D137" s="6" t="inlineStr"/>
      <c r="E137" s="6" t="inlineStr"/>
      <c r="F137" s="6" t="inlineStr">
        <is>
          <t>AI-CTRL-033, AI-CTRL-038</t>
        </is>
      </c>
      <c r="G137" s="6" t="inlineStr">
        <is>
          <t>AI-R05, AI-R07, AI-R08, AI-R09, AI-R14, AI-R15, AI-R16, AI-R28, AI-R55</t>
        </is>
      </c>
      <c r="H137" s="6" t="inlineStr">
        <is>
          <t>Partial</t>
        </is>
      </c>
      <c r="I137" s="6" t="inlineStr"/>
      <c r="J137" s="6" t="inlineStr"/>
      <c r="K137" s="6" t="inlineStr">
        <is>
          <t>https://nachi065.github.io/AI-Security-Wiki/19_Singapore_AI_Compliance/03_Regulatory_Crosswalk.html</t>
        </is>
      </c>
    </row>
    <row r="138">
      <c r="A138" s="102" t="inlineStr">
        <is>
          <t>Singapore</t>
        </is>
      </c>
      <c r="B138" s="102" t="inlineStr">
        <is>
          <t>MAS 5.22</t>
        </is>
      </c>
      <c r="C138" s="102" t="inlineStr">
        <is>
          <t>Technology and cybersecurity review before go-live: secure design, vulnerability assessment, penetration testing, red teaming and tests against adversarial threats</t>
        </is>
      </c>
      <c r="D138" s="102" t="inlineStr"/>
      <c r="E138" s="102" t="inlineStr"/>
      <c r="F138" s="102" t="inlineStr">
        <is>
          <t>AI-CTRL-032, AI-CTRL-033, AI-CTRL-034</t>
        </is>
      </c>
      <c r="G138" s="102" t="inlineStr">
        <is>
          <t>AI-R05, AI-R07, AI-R08, AI-R10, AI-R14, AI-R16, AI-R17, AI-R20, AI-R55</t>
        </is>
      </c>
      <c r="H138" s="102" t="inlineStr">
        <is>
          <t>Direct</t>
        </is>
      </c>
      <c r="I138" s="102" t="inlineStr"/>
      <c r="J138" s="102" t="inlineStr"/>
      <c r="K138" s="102" t="inlineStr">
        <is>
          <t>https://nachi065.github.io/AI-Security-Wiki/19_Singapore_AI_Compliance/03_Regulatory_Crosswalk.html</t>
        </is>
      </c>
    </row>
    <row r="139">
      <c r="A139" s="6" t="inlineStr">
        <is>
          <t>Singapore</t>
        </is>
      </c>
      <c r="B139" s="6" t="inlineStr">
        <is>
          <t>MAS 5.23</t>
        </is>
      </c>
      <c r="C139" s="6" t="inlineStr">
        <is>
          <t>Ongoing monitoring with metrics and thresholds, drift checks, AI incident and issue management, user feedback, and logging of prompts and responses for generative AI and agents</t>
        </is>
      </c>
      <c r="D139" s="6" t="inlineStr"/>
      <c r="E139" s="6" t="inlineStr"/>
      <c r="F139" s="6" t="inlineStr">
        <is>
          <t>AI-CTRL-008, AI-CTRL-009, AI-CTRL-035</t>
        </is>
      </c>
      <c r="G139" s="6" t="inlineStr">
        <is>
          <t>AI-R09, AI-R15, AI-R20, AI-R26</t>
        </is>
      </c>
      <c r="H139" s="6" t="inlineStr">
        <is>
          <t>Direct</t>
        </is>
      </c>
      <c r="I139" s="6" t="inlineStr"/>
      <c r="J139" s="6" t="inlineStr"/>
      <c r="K139" s="6" t="inlineStr">
        <is>
          <t>https://nachi065.github.io/AI-Security-Wiki/19_Singapore_AI_Compliance/03_Regulatory_Crosswalk.html</t>
        </is>
      </c>
    </row>
    <row r="140">
      <c r="A140" s="102" t="inlineStr">
        <is>
          <t>Singapore</t>
        </is>
      </c>
      <c r="B140" s="102" t="inlineStr">
        <is>
          <t>MAS 5.24</t>
        </is>
      </c>
      <c r="C140" s="102" t="inlineStr">
        <is>
          <t>Re-validation and review, regular for high-risk use cases and when triggered by changes, alerts or new risks</t>
        </is>
      </c>
      <c r="D140" s="102" t="inlineStr"/>
      <c r="E140" s="102" t="inlineStr"/>
      <c r="F140" s="102" t="inlineStr">
        <is>
          <t>AI-CTRL-034, AI-CTRL-038</t>
        </is>
      </c>
      <c r="G140" s="102" t="inlineStr">
        <is>
          <t>AI-R05, AI-R07, AI-R09, AI-R15, AI-R16, AI-R17, AI-R20, AI-R28</t>
        </is>
      </c>
      <c r="H140" s="102" t="inlineStr">
        <is>
          <t>Direct</t>
        </is>
      </c>
      <c r="I140" s="102" t="inlineStr"/>
      <c r="J140" s="102" t="inlineStr"/>
      <c r="K140" s="102" t="inlineStr">
        <is>
          <t>https://nachi065.github.io/AI-Security-Wiki/19_Singapore_AI_Compliance/03_Regulatory_Crosswalk.html</t>
        </is>
      </c>
    </row>
    <row r="141">
      <c r="A141" s="6" t="inlineStr">
        <is>
          <t>Singapore</t>
        </is>
      </c>
      <c r="B141" s="6" t="inlineStr">
        <is>
          <t>MAS 5.25</t>
        </is>
      </c>
      <c r="C141" s="6" t="inlineStr">
        <is>
          <t>Change management: a way to judge how significant a change is, re-approval, version control with rollback, and tighter controls for automatic updates</t>
        </is>
      </c>
      <c r="D141" s="6" t="inlineStr"/>
      <c r="E141" s="6" t="inlineStr"/>
      <c r="F141" s="6" t="inlineStr">
        <is>
          <t>AI-CTRL-030, AI-CTRL-033</t>
        </is>
      </c>
      <c r="G141" s="6" t="inlineStr">
        <is>
          <t>AI-R05, AI-R07, AI-R08, AI-R14, AI-R16, AI-R55</t>
        </is>
      </c>
      <c r="H141" s="6" t="inlineStr">
        <is>
          <t>Direct</t>
        </is>
      </c>
      <c r="I141" s="6" t="inlineStr"/>
      <c r="J141" s="6" t="inlineStr"/>
      <c r="K141" s="6" t="inlineStr">
        <is>
          <t>https://nachi065.github.io/AI-Security-Wiki/19_Singapore_AI_Compliance/03_Regulatory_Crosswalk.html</t>
        </is>
      </c>
    </row>
    <row r="142">
      <c r="A142" s="102" t="inlineStr">
        <is>
          <t>Singapore</t>
        </is>
      </c>
      <c r="B142" s="102" t="inlineStr">
        <is>
          <t>MAS 5.26</t>
        </is>
      </c>
      <c r="C142" s="102" t="inlineStr">
        <is>
          <t>Retirement and decommissioning of AI</t>
        </is>
      </c>
      <c r="D142" s="102" t="inlineStr"/>
      <c r="E142" s="102" t="inlineStr"/>
      <c r="F142" s="102" t="inlineStr">
        <is>
          <t>AI-CTRL-011, AI-CTRL-028</t>
        </is>
      </c>
      <c r="G142" s="102" t="inlineStr">
        <is>
          <t>AI-R02, AI-R08, AI-R18</t>
        </is>
      </c>
      <c r="H142" s="102" t="inlineStr">
        <is>
          <t>Direct</t>
        </is>
      </c>
      <c r="I142" s="102" t="inlineStr"/>
      <c r="J142" s="102" t="inlineStr"/>
      <c r="K142" s="102" t="inlineStr">
        <is>
          <t>https://nachi065.github.io/AI-Security-Wiki/19_Singapore_AI_Compliance/03_Regulatory_Crosswalk.html</t>
        </is>
      </c>
    </row>
    <row r="143">
      <c r="A143" s="6" t="inlineStr">
        <is>
          <t>Singapore</t>
        </is>
      </c>
      <c r="B143" s="6" t="inlineStr">
        <is>
          <t>MAS 6.1 to 6.2</t>
        </is>
      </c>
      <c r="C143" s="6" t="inlineStr">
        <is>
          <t>Competence and conduct of the people who develop, deploy and use AI, with regular review of capability and capacity</t>
        </is>
      </c>
      <c r="D143" s="6" t="inlineStr"/>
      <c r="E143" s="6" t="inlineStr"/>
      <c r="F143" s="6" t="inlineStr">
        <is>
          <t>AI-CTRL-044</t>
        </is>
      </c>
      <c r="G143" s="6" t="inlineStr">
        <is>
          <t>AI-R02, AI-R19</t>
        </is>
      </c>
      <c r="H143" s="6" t="inlineStr">
        <is>
          <t>Direct</t>
        </is>
      </c>
      <c r="I143" s="6" t="inlineStr"/>
      <c r="J143" s="6" t="inlineStr"/>
      <c r="K143" s="6" t="inlineStr">
        <is>
          <t>https://nachi065.github.io/AI-Security-Wiki/19_Singapore_AI_Compliance/03_Regulatory_Crosswalk.html</t>
        </is>
      </c>
    </row>
    <row r="144">
      <c r="A144" s="102" t="inlineStr">
        <is>
          <t>Singapore</t>
        </is>
      </c>
      <c r="B144" s="102" t="inlineStr">
        <is>
          <t>MAS 6.3</t>
        </is>
      </c>
      <c r="C144" s="102" t="inlineStr">
        <is>
          <t>Technology infrastructure adequate for performance, scalability and resilience</t>
        </is>
      </c>
      <c r="D144" s="102" t="inlineStr"/>
      <c r="E144" s="102" t="inlineStr"/>
      <c r="F144" s="102" t="inlineStr">
        <is>
          <t>AI-CTRL-032, AI-CTRL-040</t>
        </is>
      </c>
      <c r="G144" s="102" t="inlineStr">
        <is>
          <t>AI-R08, AI-R10, AI-R13, AI-R16</t>
        </is>
      </c>
      <c r="H144" s="102" t="inlineStr">
        <is>
          <t>Direct</t>
        </is>
      </c>
      <c r="I144" s="102" t="inlineStr"/>
      <c r="J144" s="102" t="inlineStr"/>
      <c r="K144" s="102" t="inlineStr">
        <is>
          <t>https://nachi065.github.io/AI-Security-Wiki/19_Singapore_AI_Compliance/03_Regulatory_Crosswalk.html</t>
        </is>
      </c>
    </row>
    <row r="145">
      <c r="A145" s="6" t="inlineStr">
        <is>
          <t>South Korea</t>
        </is>
      </c>
      <c r="B145" s="6" t="inlineStr">
        <is>
          <t>KR1</t>
        </is>
      </c>
      <c r="C145" s="6" t="inlineStr">
        <is>
          <t>AI Basic Act</t>
        </is>
      </c>
      <c r="D145" s="6" t="inlineStr">
        <is>
          <t>Binding law</t>
        </is>
      </c>
      <c r="E145" s="6" t="inlineStr">
        <is>
          <t>Binding; effective 22 Jan 2026</t>
        </is>
      </c>
      <c r="F145" s="6" t="inlineStr">
        <is>
          <t>None</t>
        </is>
      </c>
      <c r="G145" s="6" t="inlineStr">
        <is>
          <t>None</t>
        </is>
      </c>
      <c r="H145" s="6" t="inlineStr">
        <is>
          <t>Reported</t>
        </is>
      </c>
      <c r="I145" s="6" t="inlineStr">
        <is>
          <t>Korean text; content of Decree No. 36506</t>
        </is>
      </c>
      <c r="J145" s="6" t="inlineStr">
        <is>
          <t>KLRI English translation of the AI Basic Act (Act No. 21311); KLRI English translation of the Enforcement Decree (No. 36053); Government legislation status: decree amendment, retrieved 21 Oct 2026 (article numbers from the KLRI English translation, which has no legal effect; the Korean text on law.go.kr could not be read automatically)</t>
        </is>
      </c>
      <c r="K145" s="6" t="inlineStr">
        <is>
          <t>https://nachi065.github.io/AI-Security-Wiki/20_South_Korea_AI_Compliance/03_Regulatory_Crosswalk.html</t>
        </is>
      </c>
    </row>
    <row r="146">
      <c r="A146" s="102" t="inlineStr">
        <is>
          <t>South Korea</t>
        </is>
      </c>
      <c r="B146" s="102" t="inlineStr">
        <is>
          <t>KR2</t>
        </is>
      </c>
      <c r="C146" s="102" t="inlineStr">
        <is>
          <t>Generative AI duties</t>
        </is>
      </c>
      <c r="D146" s="102" t="inlineStr">
        <is>
          <t>Binding law</t>
        </is>
      </c>
      <c r="E146" s="102" t="inlineStr">
        <is>
          <t>Binding</t>
        </is>
      </c>
      <c r="F146" s="102" t="inlineStr">
        <is>
          <t>AI-CTRL-039</t>
        </is>
      </c>
      <c r="G146" s="102" t="inlineStr">
        <is>
          <t>AI-R12, AI-R14, AI-R20</t>
        </is>
      </c>
      <c r="H146" s="102" t="inlineStr">
        <is>
          <t>Reported</t>
        </is>
      </c>
      <c r="I146" s="102" t="inlineStr">
        <is>
          <t>Korean text of Art 31 and Decree Art 23</t>
        </is>
      </c>
      <c r="J146" s="102" t="inlineStr">
        <is>
          <t>KLRI English translation of the AI Basic Act (Act No. 21311); KLRI English translation of the Enforcement Decree (No. 36053); MSIT: The AI Basic Act comes into force; MSIT: Guidelines on Ensuring AI Transparency, retrieved 21 Oct 2026 (article numbers from the KLRI English translation, which has no legal effect; the Korean text on law.go.kr could not be read automatically)</t>
        </is>
      </c>
      <c r="K146" s="102" t="inlineStr">
        <is>
          <t>https://nachi065.github.io/AI-Security-Wiki/20_South_Korea_AI_Compliance/03_Regulatory_Crosswalk.html</t>
        </is>
      </c>
    </row>
    <row r="147">
      <c r="A147" s="6" t="inlineStr">
        <is>
          <t>South Korea</t>
        </is>
      </c>
      <c r="B147" s="6" t="inlineStr">
        <is>
          <t>KR3</t>
        </is>
      </c>
      <c r="C147" s="6" t="inlineStr">
        <is>
          <t>High-impact AI duties</t>
        </is>
      </c>
      <c r="D147" s="6" t="inlineStr">
        <is>
          <t>Binding law</t>
        </is>
      </c>
      <c r="E147" s="6" t="inlineStr">
        <is>
          <t>Binding</t>
        </is>
      </c>
      <c r="F147" s="6" t="inlineStr">
        <is>
          <t>AI-CTRL-023, AI-CTRL-037, AI-CTRL-041</t>
        </is>
      </c>
      <c r="G147" s="6" t="inlineStr">
        <is>
          <t>AI-R02, AI-R07, AI-R12, AI-R14, AI-R15, AI-R18, AI-R19, AI-R28, AI-R55</t>
        </is>
      </c>
      <c r="H147" s="6" t="inlineStr">
        <is>
          <t>Reported</t>
        </is>
      </c>
      <c r="I147" s="6" t="inlineStr">
        <is>
          <t>Korean text of Arts 2(4) and 33 to 35; items added by decree. The claim that only Level-4 autonomous vehicles qualify was found only in news reports</t>
        </is>
      </c>
      <c r="J147" s="6" t="inlineStr">
        <is>
          <t>KLRI English translation of the AI Basic Act (Act No. 21311); KLRI English translation of the Enforcement Decree (No. 36053); MSIT: The AI Basic Act comes into force, retrieved 21 Oct 2026 (article numbers from the KLRI English translation, which has no legal effect; the Korean text on law.go.kr could not be read automatically)</t>
        </is>
      </c>
      <c r="K147" s="6" t="inlineStr">
        <is>
          <t>https://nachi065.github.io/AI-Security-Wiki/20_South_Korea_AI_Compliance/03_Regulatory_Crosswalk.html</t>
        </is>
      </c>
    </row>
    <row r="148">
      <c r="A148" s="102" t="inlineStr">
        <is>
          <t>South Korea</t>
        </is>
      </c>
      <c r="B148" s="102" t="inlineStr">
        <is>
          <t>KR4</t>
        </is>
      </c>
      <c r="C148" s="102" t="inlineStr">
        <is>
          <t>High-performance AI (training at 10^26 FLOP or more)</t>
        </is>
      </c>
      <c r="D148" s="102" t="inlineStr">
        <is>
          <t>Binding law</t>
        </is>
      </c>
      <c r="E148" s="102" t="inlineStr">
        <is>
          <t>Binding</t>
        </is>
      </c>
      <c r="F148" s="102" t="inlineStr">
        <is>
          <t>AI-CTRL-005, AI-CTRL-037</t>
        </is>
      </c>
      <c r="G148" s="102" t="inlineStr">
        <is>
          <t>AI-R02, AI-R05, AI-R06, AI-R18, AI-R24, AI-R28, AI-R55</t>
        </is>
      </c>
      <c r="H148" s="102" t="inlineStr">
        <is>
          <t>Reported</t>
        </is>
      </c>
      <c r="I148" s="102" t="inlineStr">
        <is>
          <t>Korean text; MSIT calculation method under Decree Art 24(2)</t>
        </is>
      </c>
      <c r="J148" s="102" t="inlineStr">
        <is>
          <t>KLRI English translation of the AI Basic Act (Act No. 21311); KLRI English translation of the Enforcement Decree (No. 36053); MSIT: legislative notice of the draft decree, retrieved 21 Oct 2026 (article numbers from the KLRI English translation, which has no legal effect; the Korean text on law.go.kr could not be read automatically) (the KLRI decree text garbles the exponent; the MSIT notice gives 10^26)</t>
        </is>
      </c>
      <c r="K148" s="102" t="inlineStr">
        <is>
          <t>https://nachi065.github.io/AI-Security-Wiki/20_South_Korea_AI_Compliance/03_Regulatory_Crosswalk.html</t>
        </is>
      </c>
    </row>
    <row r="149">
      <c r="A149" s="6" t="inlineStr">
        <is>
          <t>South Korea</t>
        </is>
      </c>
      <c r="B149" s="6" t="inlineStr">
        <is>
          <t>KR5</t>
        </is>
      </c>
      <c r="C149" s="6" t="inlineStr">
        <is>
          <t>Domestic representative</t>
        </is>
      </c>
      <c r="D149" s="6" t="inlineStr">
        <is>
          <t>Binding law</t>
        </is>
      </c>
      <c r="E149" s="6" t="inlineStr">
        <is>
          <t>Binding</t>
        </is>
      </c>
      <c r="F149" s="6" t="inlineStr">
        <is>
          <t>AI-CTRL-012</t>
        </is>
      </c>
      <c r="G149" s="6" t="inlineStr">
        <is>
          <t>AI-R02, AI-R03, AI-R18, AI-R19, AI-R27, AI-R28</t>
        </is>
      </c>
      <c r="H149" s="6" t="inlineStr">
        <is>
          <t>Reported</t>
        </is>
      </c>
      <c r="I149" s="6" t="inlineStr">
        <is>
          <t>Korean text; that any one criterion is enough</t>
        </is>
      </c>
      <c r="J149" s="6" t="inlineStr">
        <is>
          <t>KLRI English translation of the AI Basic Act (Act No. 21311); KLRI English translation of the Enforcement Decree (No. 36053), retrieved 21 Oct 2026 (article numbers from the KLRI English translation, which has no legal effect; the Korean text on law.go.kr could not be read automatically)</t>
        </is>
      </c>
      <c r="K149" s="6" t="inlineStr">
        <is>
          <t>https://nachi065.github.io/AI-Security-Wiki/20_South_Korea_AI_Compliance/03_Regulatory_Crosswalk.html</t>
        </is>
      </c>
    </row>
    <row r="150">
      <c r="A150" s="102" t="inlineStr">
        <is>
          <t>South Korea</t>
        </is>
      </c>
      <c r="B150" s="102" t="inlineStr">
        <is>
          <t>KR6</t>
        </is>
      </c>
      <c r="C150" s="102" t="inlineStr">
        <is>
          <t>Fines and grace period</t>
        </is>
      </c>
      <c r="D150" s="102" t="inlineStr">
        <is>
          <t>Binding law</t>
        </is>
      </c>
      <c r="E150" s="102" t="inlineStr">
        <is>
          <t>Administrative fines up to KRW 30 million (about USD 21,000)</t>
        </is>
      </c>
      <c r="F150" s="102" t="inlineStr">
        <is>
          <t>AI-CTRL-012</t>
        </is>
      </c>
      <c r="G150" s="102" t="inlineStr">
        <is>
          <t>AI-R02, AI-R03, AI-R18, AI-R19, AI-R27, AI-R28</t>
        </is>
      </c>
      <c r="H150" s="102" t="inlineStr">
        <is>
          <t>Reported</t>
        </is>
      </c>
      <c r="I150" s="102" t="inlineStr">
        <is>
          <t>Korean text; fine amounts in Decree Appendix 2</t>
        </is>
      </c>
      <c r="J150" s="102" t="inlineStr">
        <is>
          <t>KLRI English translation of the AI Basic Act (Act No. 21311); MSIT: The AI Basic Act comes into force; korea.kr policy briefing, 23 Jan 2026, retrieved 21 Oct 2026 (article numbers from the KLRI English translation, which has no legal effect; the Korean text on law.go.kr could not be read automatically) (the grace period is confirmed on MSIT's own page)</t>
        </is>
      </c>
      <c r="K150" s="102" t="inlineStr">
        <is>
          <t>https://nachi065.github.io/AI-Security-Wiki/20_South_Korea_AI_Compliance/03_Regulatory_Crosswalk.html</t>
        </is>
      </c>
    </row>
    <row r="151">
      <c r="A151" s="6" t="inlineStr">
        <is>
          <t>South Korea</t>
        </is>
      </c>
      <c r="B151" s="6" t="inlineStr">
        <is>
          <t>KR7</t>
        </is>
      </c>
      <c r="C151" s="6" t="inlineStr">
        <is>
          <t>Personal Information Protection Act and PIPC guidance</t>
        </is>
      </c>
      <c r="D151" s="6" t="inlineStr">
        <is>
          <t>Binding law</t>
        </is>
      </c>
      <c r="E151" s="6" t="inlineStr">
        <is>
          <t>Binding</t>
        </is>
      </c>
      <c r="F151" s="6" t="inlineStr">
        <is>
          <t>AI-CTRL-007, AI-CTRL-013, AI-CTRL-035</t>
        </is>
      </c>
      <c r="G151" s="6" t="inlineStr">
        <is>
          <t>AI-R03, AI-R09, AI-R10, AI-R20, AI-R27, AI-R28</t>
        </is>
      </c>
      <c r="H151" s="6" t="inlineStr">
        <is>
          <t>Recalled</t>
        </is>
      </c>
      <c r="I151" s="6" t="inlineStr">
        <is>
          <t>PIPA text and any AI-specific provisions</t>
        </is>
      </c>
      <c r="J151" s="6" t="inlineStr">
        <is>
          <t>PIPC: guide on publicly available personal data for AI; PIPC: generative AI guide, press release; PIPC: generative AI guide; korea.kr: PIPC guide for generative AI users, retrieved 21 Oct 2026 (guidance titles and dates checked; PIPA text not read)</t>
        </is>
      </c>
      <c r="K151" s="6" t="inlineStr">
        <is>
          <t>https://nachi065.github.io/AI-Security-Wiki/20_South_Korea_AI_Compliance/03_Regulatory_Crosswalk.html</t>
        </is>
      </c>
    </row>
    <row r="152">
      <c r="A152" s="102" t="inlineStr">
        <is>
          <t>South Korea</t>
        </is>
      </c>
      <c r="B152" s="102" t="inlineStr">
        <is>
          <t>KR8</t>
        </is>
      </c>
      <c r="C152" s="102" t="inlineStr">
        <is>
          <t>AI Basic Act Support Desk</t>
        </is>
      </c>
      <c r="D152" s="102" t="inlineStr">
        <is>
          <t>Context</t>
        </is>
      </c>
      <c r="E152" s="102" t="inlineStr">
        <is>
          <t>Government support</t>
        </is>
      </c>
      <c r="F152" s="102" t="inlineStr">
        <is>
          <t>None</t>
        </is>
      </c>
      <c r="G152" s="102" t="inlineStr">
        <is>
          <t>None</t>
        </is>
      </c>
      <c r="H152" s="102" t="inlineStr">
        <is>
          <t>Verified</t>
        </is>
      </c>
      <c r="I152" s="102" t="inlineStr">
        <is>
          <t>Website address</t>
        </is>
      </c>
      <c r="J152" s="102" t="inlineStr">
        <is>
          <t>MSIT: The AI Basic Act comes into force; korea.kr policy briefing, 23 Jan 2026, retrieved 21 Oct 2026</t>
        </is>
      </c>
      <c r="K152" s="102" t="inlineStr">
        <is>
          <t>https://nachi065.github.io/AI-Security-Wiki/20_South_Korea_AI_Compliance/03_Regulatory_Crosswalk.html</t>
        </is>
      </c>
    </row>
    <row r="153">
      <c r="A153" s="6" t="inlineStr">
        <is>
          <t>UK</t>
        </is>
      </c>
      <c r="B153" s="6" t="inlineStr">
        <is>
          <t>UK1</t>
        </is>
      </c>
      <c r="C153" s="6" t="inlineStr">
        <is>
          <t>UK approach: five principles (safety and robustness; transparency; fairness; accountability; contestability and redress)</t>
        </is>
      </c>
      <c r="D153" s="6" t="inlineStr">
        <is>
          <t>Guidance</t>
        </is>
      </c>
      <c r="E153" s="6" t="inlineStr">
        <is>
          <t>Non-statutory; from the March 2023 White Paper</t>
        </is>
      </c>
      <c r="F153" s="6" t="inlineStr">
        <is>
          <t>AI-CTRL-012, AI-CTRL-039, AI-CTRL-041</t>
        </is>
      </c>
      <c r="G153" s="6" t="inlineStr">
        <is>
          <t>AI-R02, AI-R03, AI-R12, AI-R14, AI-R15, AI-R18, AI-R19, AI-R20, AI-R27, AI-R28</t>
        </is>
      </c>
      <c r="H153" s="6" t="inlineStr">
        <is>
          <t>Verified</t>
        </is>
      </c>
      <c r="I153" s="6" t="inlineStr">
        <is>
          <t>Current government position; source says 'as of 2025'</t>
        </is>
      </c>
      <c r="J153" s="6" t="inlineStr">
        <is>
          <t>White Paper (DSIT), retrieved 20 Oct 2026 (the five principles and their non-statutory basis read; whether this is still current policy not checked)</t>
        </is>
      </c>
      <c r="K153" s="6" t="inlineStr">
        <is>
          <t>https://nachi065.github.io/AI-Security-Wiki/21_UK_AI_Compliance/03_Regulatory_Crosswalk.html</t>
        </is>
      </c>
    </row>
    <row r="154">
      <c r="A154" s="102" t="inlineStr">
        <is>
          <t>UK</t>
        </is>
      </c>
      <c r="B154" s="102" t="inlineStr">
        <is>
          <t>UK2</t>
        </is>
      </c>
      <c r="C154" s="102" t="inlineStr">
        <is>
          <t>UK GDPR and Data Protection Act 2018</t>
        </is>
      </c>
      <c r="D154" s="102" t="inlineStr">
        <is>
          <t>Binding law</t>
        </is>
      </c>
      <c r="E154" s="102" t="inlineStr">
        <is>
          <t>Binding</t>
        </is>
      </c>
      <c r="F154" s="102" t="inlineStr">
        <is>
          <t>AI-CTRL-007, AI-CTRL-013, AI-CTRL-017, AI-CTRL-035</t>
        </is>
      </c>
      <c r="G154" s="102" t="inlineStr">
        <is>
          <t>AI-R01, AI-R03, AI-R06, AI-R09, AI-R10, AI-R17, AI-R20, AI-R27, AI-R28</t>
        </is>
      </c>
      <c r="H154" s="102" t="inlineStr">
        <is>
          <t>Recalled</t>
        </is>
      </c>
      <c r="I154" s="102" t="inlineStr">
        <is>
          <t>Articles</t>
        </is>
      </c>
      <c r="J154" s="102" t="inlineStr"/>
      <c r="K154" s="102" t="inlineStr">
        <is>
          <t>https://nachi065.github.io/AI-Security-Wiki/21_UK_AI_Compliance/03_Regulatory_Crosswalk.html</t>
        </is>
      </c>
    </row>
    <row r="155">
      <c r="A155" s="6" t="inlineStr">
        <is>
          <t>UK</t>
        </is>
      </c>
      <c r="B155" s="6" t="inlineStr">
        <is>
          <t>UK3</t>
        </is>
      </c>
      <c r="C155" s="6" t="inlineStr">
        <is>
          <t>Data (Use and Access) Act 2025: new Arts 22A to 22D</t>
        </is>
      </c>
      <c r="D155" s="6" t="inlineStr">
        <is>
          <t>Binding law</t>
        </is>
      </c>
      <c r="E155" s="6" t="inlineStr">
        <is>
          <t>Binding; section 80 in force 5 Feb 2026 (SI 2026/82); does not apply to decisions taken before that date</t>
        </is>
      </c>
      <c r="F155" s="6" t="inlineStr">
        <is>
          <t>AI-CTRL-013, AI-CTRL-023, AI-CTRL-041</t>
        </is>
      </c>
      <c r="G155" s="6" t="inlineStr">
        <is>
          <t>AI-R03, AI-R07, AI-R10, AI-R12, AI-R14, AI-R15, AI-R19, AI-R27, AI-R28</t>
        </is>
      </c>
      <c r="H155" s="6" t="inlineStr">
        <is>
          <t>Verified</t>
        </is>
      </c>
      <c r="I155" s="6" t="inlineStr">
        <is>
          <t>ICO guidance</t>
        </is>
      </c>
      <c r="J155" s="6" t="inlineStr">
        <is>
          <t>Section 80 as enacted (legislation.gov.uk); SI 2026/82, Commencement No. 6 Regulations, retrieved 20 Oct 2026 (s.80 substitutes Arts 22A to 22D for Art 22; reg. 2(j) commences s.80 on 5 Feb 2026; reg. 5 saving for earlier decisions)</t>
        </is>
      </c>
      <c r="K155" s="6" t="inlineStr">
        <is>
          <t>https://nachi065.github.io/AI-Security-Wiki/21_UK_AI_Compliance/03_Regulatory_Crosswalk.html</t>
        </is>
      </c>
    </row>
    <row r="156">
      <c r="A156" s="102" t="inlineStr">
        <is>
          <t>UK</t>
        </is>
      </c>
      <c r="B156" s="102" t="inlineStr">
        <is>
          <t>UK4</t>
        </is>
      </c>
      <c r="C156" s="102" t="inlineStr">
        <is>
          <t>ICO guidance on AI and data protection</t>
        </is>
      </c>
      <c r="D156" s="102" t="inlineStr">
        <is>
          <t>Guidance</t>
        </is>
      </c>
      <c r="E156" s="102" t="inlineStr">
        <is>
          <t>Regulator guidance</t>
        </is>
      </c>
      <c r="F156" s="102" t="inlineStr">
        <is>
          <t>AI-CTRL-013, AI-CTRL-041</t>
        </is>
      </c>
      <c r="G156" s="102" t="inlineStr">
        <is>
          <t>AI-R03, AI-R10, AI-R12, AI-R14, AI-R15, AI-R27, AI-R28</t>
        </is>
      </c>
      <c r="H156" s="102" t="inlineStr">
        <is>
          <t>Recalled</t>
        </is>
      </c>
      <c r="I156" s="102" t="inlineStr">
        <is>
          <t>Current versions; any AI and biometrics strategy</t>
        </is>
      </c>
      <c r="J156" s="102" t="inlineStr"/>
      <c r="K156" s="102" t="inlineStr">
        <is>
          <t>https://nachi065.github.io/AI-Security-Wiki/21_UK_AI_Compliance/03_Regulatory_Crosswalk.html</t>
        </is>
      </c>
    </row>
    <row r="157">
      <c r="A157" s="6" t="inlineStr">
        <is>
          <t>UK</t>
        </is>
      </c>
      <c r="B157" s="6" t="inlineStr">
        <is>
          <t>UK5</t>
        </is>
      </c>
      <c r="C157" s="6" t="inlineStr">
        <is>
          <t>FCA approach (principles, Consumer Duty, SM&amp;CR)</t>
        </is>
      </c>
      <c r="D157" s="6" t="inlineStr">
        <is>
          <t>Binding in scope</t>
        </is>
      </c>
      <c r="E157" s="6" t="inlineStr">
        <is>
          <t>Regulatory framework; no AI-specific rules planned (reported, 27 Jan 2026); Mills Review published 6 Jul 2026</t>
        </is>
      </c>
      <c r="F157" s="6" t="inlineStr">
        <is>
          <t>AI-CTRL-012, AI-CTRL-023, AI-CTRL-037</t>
        </is>
      </c>
      <c r="G157" s="6" t="inlineStr">
        <is>
          <t>AI-R02, AI-R03, AI-R07, AI-R18, AI-R19, AI-R27, AI-R28, AI-R55</t>
        </is>
      </c>
      <c r="H157" s="6" t="inlineStr">
        <is>
          <t>Reported</t>
        </is>
      </c>
      <c r="I157" s="6" t="inlineStr">
        <is>
          <t>The FCA's own statement on AI-specific rules; guidance promised after the Mills Review</t>
        </is>
      </c>
      <c r="J157" s="6" t="inlineStr">
        <is>
          <t>FCA: Mills Review, retrieved 25 Oct 2026 (Mills Review only)</t>
        </is>
      </c>
      <c r="K157" s="6" t="inlineStr">
        <is>
          <t>https://nachi065.github.io/AI-Security-Wiki/21_UK_AI_Compliance/03_Regulatory_Crosswalk.html</t>
        </is>
      </c>
    </row>
    <row r="158">
      <c r="A158" s="102" t="inlineStr">
        <is>
          <t>UK</t>
        </is>
      </c>
      <c r="B158" s="102" t="inlineStr">
        <is>
          <t>UK6</t>
        </is>
      </c>
      <c r="C158" s="102" t="inlineStr">
        <is>
          <t>PRA SS1/23 model risk management</t>
        </is>
      </c>
      <c r="D158" s="102" t="inlineStr">
        <is>
          <t>Guidance</t>
        </is>
      </c>
      <c r="E158" s="102" t="inlineStr">
        <is>
          <t>Supervisory statement for UK banks, building societies and PRA-designated investment firms with internal model approval for regulatory capital; first effective 17 May 2024; current version effective 23 Apr 2026</t>
        </is>
      </c>
      <c r="F158" s="102" t="inlineStr">
        <is>
          <t>AI-CTRL-011, AI-CTRL-037, AI-CTRL-038</t>
        </is>
      </c>
      <c r="G158" s="102" t="inlineStr">
        <is>
          <t>AI-R02, AI-R09, AI-R15, AI-R18, AI-R28, AI-R55</t>
        </is>
      </c>
      <c r="H158" s="102" t="inlineStr">
        <is>
          <t>Verified</t>
        </is>
      </c>
      <c r="I158" s="102" t="inlineStr">
        <is>
          <t>What the April 2026 version changed</t>
        </is>
      </c>
      <c r="J158" s="102" t="inlineStr">
        <is>
          <t>SS1/23 (Bank of England), retrieved 20 Oct 2026 (scope and dates read; includes a sub-principle on AI and machine learning in modelling)</t>
        </is>
      </c>
      <c r="K158" s="102" t="inlineStr">
        <is>
          <t>https://nachi065.github.io/AI-Security-Wiki/21_UK_AI_Compliance/03_Regulatory_Crosswalk.html</t>
        </is>
      </c>
    </row>
    <row r="159">
      <c r="A159" s="6" t="inlineStr">
        <is>
          <t>UK</t>
        </is>
      </c>
      <c r="B159" s="6" t="inlineStr">
        <is>
          <t>UK7</t>
        </is>
      </c>
      <c r="C159" s="6" t="inlineStr">
        <is>
          <t>CMA and Ofcom roles (competition; online safety)</t>
        </is>
      </c>
      <c r="D159" s="6" t="inlineStr">
        <is>
          <t>Context</t>
        </is>
      </c>
      <c r="E159" s="6" t="inlineStr">
        <is>
          <t>Regulators</t>
        </is>
      </c>
      <c r="F159" s="6" t="inlineStr">
        <is>
          <t>AI-CTRL-039</t>
        </is>
      </c>
      <c r="G159" s="6" t="inlineStr">
        <is>
          <t>AI-R12, AI-R14, AI-R20</t>
        </is>
      </c>
      <c r="H159" s="6" t="inlineStr">
        <is>
          <t>Reported</t>
        </is>
      </c>
      <c r="I159" s="6" t="inlineStr">
        <is>
          <t>Scope for AI services</t>
        </is>
      </c>
      <c r="J159" s="6" t="inlineStr"/>
      <c r="K159" s="6" t="inlineStr">
        <is>
          <t>https://nachi065.github.io/AI-Security-Wiki/21_UK_AI_Compliance/03_Regulatory_Crosswalk.html</t>
        </is>
      </c>
    </row>
    <row r="160">
      <c r="A160" s="102" t="inlineStr">
        <is>
          <t>UK</t>
        </is>
      </c>
      <c r="B160" s="102" t="inlineStr">
        <is>
          <t>UK8</t>
        </is>
      </c>
      <c r="C160" s="102" t="inlineStr">
        <is>
          <t>Copyright and AI training</t>
        </is>
      </c>
      <c r="D160" s="102" t="inlineStr">
        <is>
          <t>Context</t>
        </is>
      </c>
      <c r="E160" s="102" t="inlineStr">
        <is>
          <t>No statutory TDM exception for commercial AI training (s.29A CDPA covers non-commercial research only); the government report of 18 Mar 2026 says an exception with opt-out is no longer its preferred way forward and commits to no reform yet</t>
        </is>
      </c>
      <c r="F160" s="102" t="inlineStr">
        <is>
          <t>AI-CTRL-029</t>
        </is>
      </c>
      <c r="G160" s="102" t="inlineStr">
        <is>
          <t>AI-R08</t>
        </is>
      </c>
      <c r="H160" s="102" t="inlineStr">
        <is>
          <t>Verified</t>
        </is>
      </c>
      <c r="I160" s="102" t="inlineStr">
        <is>
          <t>Litigation; any later policy</t>
        </is>
      </c>
      <c r="J160" s="102" t="inlineStr">
        <is>
          <t>Report on Copyright and Artificial Intelligence (GOV.UK), retrieved 20 Oct 2026 (first 100,000 characters of the HTML report read)</t>
        </is>
      </c>
      <c r="K160" s="102" t="inlineStr">
        <is>
          <t>https://nachi065.github.io/AI-Security-Wiki/21_UK_AI_Compliance/03_Regulatory_Crosswalk.html</t>
        </is>
      </c>
    </row>
    <row r="161">
      <c r="A161" s="6" t="inlineStr">
        <is>
          <t>UK</t>
        </is>
      </c>
      <c r="B161" s="6" t="inlineStr">
        <is>
          <t>UK9</t>
        </is>
      </c>
      <c r="C161" s="6" t="inlineStr">
        <is>
          <t>AI (Regulation) private member's bill</t>
        </is>
      </c>
      <c r="D161" s="6" t="inlineStr">
        <is>
          <t>Proposed</t>
        </is>
      </c>
      <c r="E161" s="6" t="inlineStr">
        <is>
          <t>Not law</t>
        </is>
      </c>
      <c r="F161" s="6" t="inlineStr">
        <is>
          <t>None</t>
        </is>
      </c>
      <c r="G161" s="6" t="inlineStr">
        <is>
          <t>None</t>
        </is>
      </c>
      <c r="H161" s="6" t="inlineStr">
        <is>
          <t>Verified</t>
        </is>
      </c>
      <c r="I161" s="6" t="inlineStr">
        <is>
          <t>Parliamentary status</t>
        </is>
      </c>
      <c r="J161" s="6" t="inlineStr">
        <is>
          <t>Bill page (UK Parliament), retrieved 20 Oct 2026 (Artificial Intelligence (Regulation) Bill [HL], Private Members' Bill, session 2024-26, HL Bill 76 as introduced 4 Mar 2025; no later stage shown)</t>
        </is>
      </c>
      <c r="K161" s="6" t="inlineStr">
        <is>
          <t>https://nachi065.github.io/AI-Security-Wiki/21_UK_AI_Compliance/03_Regulatory_Crosswalk.html</t>
        </is>
      </c>
    </row>
    <row r="162">
      <c r="A162" s="102" t="inlineStr">
        <is>
          <t>UK</t>
        </is>
      </c>
      <c r="B162" s="102" t="inlineStr">
        <is>
          <t>UK10</t>
        </is>
      </c>
      <c r="C162" s="102" t="inlineStr">
        <is>
          <t>NCSC and DSIT guidance on secure AI (guidelines for secure AI system development; AI cyber security code of practice)</t>
        </is>
      </c>
      <c r="D162" s="102" t="inlineStr">
        <is>
          <t>Voluntary</t>
        </is>
      </c>
      <c r="E162" s="102" t="inlineStr">
        <is>
          <t>Voluntary guidance</t>
        </is>
      </c>
      <c r="F162" s="102" t="inlineStr">
        <is>
          <t>AI-CTRL-005, AI-CTRL-008</t>
        </is>
      </c>
      <c r="G162" s="102" t="inlineStr">
        <is>
          <t>AI-R05, AI-R06, AI-R09, AI-R15, AI-R24, AI-R26</t>
        </is>
      </c>
      <c r="H162" s="102" t="inlineStr">
        <is>
          <t>Verified</t>
        </is>
      </c>
      <c r="I162" s="102" t="inlineStr">
        <is>
          <t>Existence, titles, standard status</t>
        </is>
      </c>
      <c r="J162" s="102" t="inlineStr">
        <is>
          <t>Code of Practice for the Cyber Security of AI (GOV.UK); NCSC blog on ETSI TS 104 223, retrieved 20 Oct 2026 (code published 31 Jan 2025, described as voluntary, 13 principles; it cites the NCSC guidelines of Nov 2023; ETSI TS 104 223 built on it)</t>
        </is>
      </c>
      <c r="K162" s="102" t="inlineStr">
        <is>
          <t>https://nachi065.github.io/AI-Security-Wiki/21_UK_AI_Compliance/03_Regulatory_Crosswalk.html</t>
        </is>
      </c>
    </row>
    <row r="163">
      <c r="A163" s="6" t="inlineStr">
        <is>
          <t>UK</t>
        </is>
      </c>
      <c r="B163" s="6" t="inlineStr">
        <is>
          <t>UK11</t>
        </is>
      </c>
      <c r="C163" s="6" t="inlineStr">
        <is>
          <t>Algorithmic Transparency Recording Standard</t>
        </is>
      </c>
      <c r="D163" s="6" t="inlineStr">
        <is>
          <t>Unclear</t>
        </is>
      </c>
      <c r="E163" s="6" t="inlineStr">
        <is>
          <t>Public-sector standard; mandatory by cross-government policy (not statute) for ministerial and non-ministerial departments and for arm's-length bodies that provide public or frontline services or routinely deal with the public; recommended for the wider public sector</t>
        </is>
      </c>
      <c r="F163" s="6" t="inlineStr">
        <is>
          <t>AI-CTRL-011, AI-CTRL-039</t>
        </is>
      </c>
      <c r="G163" s="6" t="inlineStr">
        <is>
          <t>AI-R02, AI-R12, AI-R14, AI-R18, AI-R20</t>
        </is>
      </c>
      <c r="H163" s="6" t="inlineStr">
        <is>
          <t>Verified</t>
        </is>
      </c>
      <c r="I163" s="6" t="inlineStr">
        <is>
          <t>Whether mandatory for your body; whether Legal force should read Binding in scope</t>
        </is>
      </c>
      <c r="J163" s="6" t="inlineStr">
        <is>
          <t>ATRS mandatory scope and exemptions policy (GOV.UK), retrieved 20 Oct 2026 (policy paper of 17 Dec 2024)</t>
        </is>
      </c>
      <c r="K163" s="6" t="inlineStr">
        <is>
          <t>https://nachi065.github.io/AI-Security-Wiki/21_UK_AI_Compliance/03_Regulatory_Crosswalk.html</t>
        </is>
      </c>
    </row>
    <row r="164">
      <c r="A164" s="102" t="inlineStr">
        <is>
          <t>UK</t>
        </is>
      </c>
      <c r="B164" s="102" t="inlineStr">
        <is>
          <t>UK12</t>
        </is>
      </c>
      <c r="C164" s="102" t="inlineStr">
        <is>
          <t>Equality Act 2010</t>
        </is>
      </c>
      <c r="D164" s="102" t="inlineStr">
        <is>
          <t>Binding law</t>
        </is>
      </c>
      <c r="E164" s="102" t="inlineStr">
        <is>
          <t>Binding</t>
        </is>
      </c>
      <c r="F164" s="102" t="inlineStr">
        <is>
          <t>AI-CTRL-041</t>
        </is>
      </c>
      <c r="G164" s="102" t="inlineStr">
        <is>
          <t>AI-R12, AI-R14, AI-R15</t>
        </is>
      </c>
      <c r="H164" s="102" t="inlineStr">
        <is>
          <t>Recalled</t>
        </is>
      </c>
      <c r="I164" s="102" t="inlineStr">
        <is>
          <t>Application to your use case</t>
        </is>
      </c>
      <c r="J164" s="102" t="inlineStr"/>
      <c r="K164" s="102" t="inlineStr">
        <is>
          <t>https://nachi065.github.io/AI-Security-Wiki/21_UK_AI_Compliance/03_Regulatory_Crosswalk.html</t>
        </is>
      </c>
    </row>
    <row r="165">
      <c r="A165" s="6" t="inlineStr">
        <is>
          <t>UK</t>
        </is>
      </c>
      <c r="B165" s="6" t="inlineStr">
        <is>
          <t>UK13</t>
        </is>
      </c>
      <c r="C165" s="6" t="inlineStr">
        <is>
          <t>AI Management Essentials (AIME) self-assessment tool</t>
        </is>
      </c>
      <c r="D165" s="6" t="inlineStr">
        <is>
          <t>Proposed</t>
        </is>
      </c>
      <c r="E165" s="6" t="inlineStr">
        <is>
          <t>Withdrawn draft: DSIT will not publish it (government response, Feb 2026)</t>
        </is>
      </c>
      <c r="F165" s="6" t="inlineStr">
        <is>
          <t>AI-CTRL-011, AI-CTRL-012, AI-CTRL-037, AI-CTRL-041, AI-CTRL-042</t>
        </is>
      </c>
      <c r="G165" s="6" t="inlineStr">
        <is>
          <t>AI-R02, AI-R03, AI-R10, AI-R12, AI-R14, AI-R15, AI-R18, AI-R19, AI-R27, AI-R28, AI-R55</t>
        </is>
      </c>
      <c r="H165" s="6" t="inlineStr">
        <is>
          <t>Verified</t>
        </is>
      </c>
      <c r="I165" s="6" t="inlineStr">
        <is>
          <t>DSIT's replacement guidance for SMEs</t>
        </is>
      </c>
      <c r="J165" s="6" t="inlineStr">
        <is>
          <t>Government response, retrieved 15 Oct 2026</t>
        </is>
      </c>
      <c r="K165" s="6" t="inlineStr">
        <is>
          <t>https://nachi065.github.io/AI-Security-Wiki/21_UK_AI_Compliance/03_Regulatory_Crosswalk.html</t>
        </is>
      </c>
    </row>
    <row r="166">
      <c r="A166" s="102" t="inlineStr">
        <is>
          <t>US</t>
        </is>
      </c>
      <c r="B166" s="102" t="inlineStr">
        <is>
          <t>US1</t>
        </is>
      </c>
      <c r="C166" s="102" t="inlineStr">
        <is>
          <t>Federal AI legislation</t>
        </is>
      </c>
      <c r="D166" s="102" t="inlineStr">
        <is>
          <t>Context</t>
        </is>
      </c>
      <c r="E166" s="102" t="inlineStr">
        <is>
          <t>None comprehensive</t>
        </is>
      </c>
      <c r="F166" s="102" t="inlineStr">
        <is>
          <t>None</t>
        </is>
      </c>
      <c r="G166" s="102" t="inlineStr">
        <is>
          <t>None</t>
        </is>
      </c>
      <c r="H166" s="102" t="inlineStr">
        <is>
          <t>Reported</t>
        </is>
      </c>
      <c r="I166" s="102" t="inlineStr">
        <is>
          <t>New bills</t>
        </is>
      </c>
      <c r="J166" s="102" t="inlineStr"/>
      <c r="K166" s="102" t="inlineStr">
        <is>
          <t>https://nachi065.github.io/AI-Security-Wiki/22_US_AI_Compliance/03_Regulatory_Crosswalk.html</t>
        </is>
      </c>
    </row>
    <row r="167">
      <c r="A167" s="6" t="inlineStr">
        <is>
          <t>US</t>
        </is>
      </c>
      <c r="B167" s="6" t="inlineStr">
        <is>
          <t>US2</t>
        </is>
      </c>
      <c r="C167" s="6" t="inlineStr">
        <is>
          <t>Executive Order 14365 (Dec 2025)</t>
        </is>
      </c>
      <c r="D167" s="6" t="inlineStr">
        <is>
          <t>Context</t>
        </is>
      </c>
      <c r="E167" s="6" t="inlineStr">
        <is>
          <t>Executive policy</t>
        </is>
      </c>
      <c r="F167" s="6" t="inlineStr">
        <is>
          <t>None</t>
        </is>
      </c>
      <c r="G167" s="6" t="inlineStr">
        <is>
          <t>None</t>
        </is>
      </c>
      <c r="H167" s="6" t="inlineStr">
        <is>
          <t>Verified</t>
        </is>
      </c>
      <c r="I167" s="6" t="inlineStr">
        <is>
          <t>Court rulings in the Task Force's cases</t>
        </is>
      </c>
      <c r="J167" s="6" t="inlineStr">
        <is>
          <t>Executive Order 14365, Compilation of Presidential Documents; Attorney General memo, 9 Jan 2026; DOJ complaint in intervention, X.AI LLC v. Weiser, retrieved 21 Oct 2026 (court rulings not checked)</t>
        </is>
      </c>
      <c r="K167" s="6" t="inlineStr">
        <is>
          <t>https://nachi065.github.io/AI-Security-Wiki/22_US_AI_Compliance/03_Regulatory_Crosswalk.html</t>
        </is>
      </c>
    </row>
    <row r="168">
      <c r="A168" s="102" t="inlineStr">
        <is>
          <t>US</t>
        </is>
      </c>
      <c r="B168" s="102" t="inlineStr">
        <is>
          <t>US3</t>
        </is>
      </c>
      <c r="C168" s="102" t="inlineStr">
        <is>
          <t>Executive Order 14409 (2 Jun 2026) and NSPM-11 (5 Jun 2026)</t>
        </is>
      </c>
      <c r="D168" s="102" t="inlineStr">
        <is>
          <t>Context</t>
        </is>
      </c>
      <c r="E168" s="102" t="inlineStr">
        <is>
          <t>Executive policy</t>
        </is>
      </c>
      <c r="F168" s="102" t="inlineStr">
        <is>
          <t>AI-CTRL-005</t>
        </is>
      </c>
      <c r="G168" s="102" t="inlineStr">
        <is>
          <t>AI-R05, AI-R06, AI-R24</t>
        </is>
      </c>
      <c r="H168" s="102" t="inlineStr">
        <is>
          <t>Verified</t>
        </is>
      </c>
      <c r="I168" s="102" t="inlineStr">
        <is>
          <t>Agency implementation</t>
        </is>
      </c>
      <c r="J168" s="102" t="inlineStr">
        <is>
          <t>White House: Executive Order 14409; White House: NSPM-11, retrieved 21 Oct 2026</t>
        </is>
      </c>
      <c r="K168" s="102" t="inlineStr">
        <is>
          <t>https://nachi065.github.io/AI-Security-Wiki/22_US_AI_Compliance/03_Regulatory_Crosswalk.html</t>
        </is>
      </c>
    </row>
    <row r="169">
      <c r="A169" s="6" t="inlineStr">
        <is>
          <t>US</t>
        </is>
      </c>
      <c r="B169" s="6" t="inlineStr">
        <is>
          <t>US4</t>
        </is>
      </c>
      <c r="C169" s="6" t="inlineStr">
        <is>
          <t>NIST AI Risk Management Framework 1.0</t>
        </is>
      </c>
      <c r="D169" s="6" t="inlineStr">
        <is>
          <t>Voluntary</t>
        </is>
      </c>
      <c r="E169" s="6" t="inlineStr">
        <is>
          <t>Voluntary</t>
        </is>
      </c>
      <c r="F169" s="6" t="inlineStr">
        <is>
          <t>None</t>
        </is>
      </c>
      <c r="G169" s="6" t="inlineStr">
        <is>
          <t>None</t>
        </is>
      </c>
      <c r="H169" s="6" t="inlineStr">
        <is>
          <t>Conflict</t>
        </is>
      </c>
      <c r="I169" s="6" t="inlineStr">
        <is>
          <t>Whether SB 26-189 keeps any NIST-based presumption or defence; read the full text by hand</t>
        </is>
      </c>
      <c r="J169" s="6" t="inlineStr">
        <is>
          <t>NIST: AI RMF release, 26 Jan 2023; Colorado SB 26-189 session law text, retrieved 21 Oct 2026 (the NIST part is confirmed; the Colorado part is in conflict)</t>
        </is>
      </c>
      <c r="K169" s="6" t="inlineStr">
        <is>
          <t>https://nachi065.github.io/AI-Security-Wiki/22_US_AI_Compliance/03_Regulatory_Crosswalk.html</t>
        </is>
      </c>
    </row>
    <row r="170">
      <c r="A170" s="102" t="inlineStr">
        <is>
          <t>US</t>
        </is>
      </c>
      <c r="B170" s="102" t="inlineStr">
        <is>
          <t>US5</t>
        </is>
      </c>
      <c r="C170" s="102" t="inlineStr">
        <is>
          <t>Colorado: SB 24-205 repealed and reenacted by SB 26-189 (signed 14 May 2026)</t>
        </is>
      </c>
      <c r="D170" s="102" t="inlineStr">
        <is>
          <t>Binding in scope</t>
        </is>
      </c>
      <c r="E170" s="102" t="inlineStr">
        <is>
          <t>State law</t>
        </is>
      </c>
      <c r="F170" s="102" t="inlineStr">
        <is>
          <t>AI-CTRL-013, AI-CTRL-037, AI-CTRL-041</t>
        </is>
      </c>
      <c r="G170" s="102" t="inlineStr">
        <is>
          <t>AI-R02, AI-R03, AI-R10, AI-R12, AI-R14, AI-R15, AI-R18, AI-R27, AI-R28, AI-R55</t>
        </is>
      </c>
      <c r="H170" s="102" t="inlineStr">
        <is>
          <t>Verified</t>
        </is>
      </c>
      <c r="I170" s="102" t="inlineStr">
        <is>
          <t>Attorney General rulemaking</t>
        </is>
      </c>
      <c r="J170" s="102" t="inlineStr">
        <is>
          <t>Colorado General Assembly: SB 26-189; Session law text, retrieved 21 Oct 2026 (approved 14 May 2026; takes effect 1 Jan 2027 and applies to consequential decisions made on or after that date; 30 Jun 2026 was the start date under SB 24-205 before the repeal)</t>
        </is>
      </c>
      <c r="K170" s="102" t="inlineStr">
        <is>
          <t>https://nachi065.github.io/AI-Security-Wiki/22_US_AI_Compliance/03_Regulatory_Crosswalk.html</t>
        </is>
      </c>
    </row>
    <row r="171">
      <c r="A171" s="6" t="inlineStr">
        <is>
          <t>US</t>
        </is>
      </c>
      <c r="B171" s="6" t="inlineStr">
        <is>
          <t>US6</t>
        </is>
      </c>
      <c r="C171" s="6" t="inlineStr">
        <is>
          <t>California: SB 53 frontier AI transparency; AB 2013 training data transparency</t>
        </is>
      </c>
      <c r="D171" s="6" t="inlineStr">
        <is>
          <t>Binding in scope</t>
        </is>
      </c>
      <c r="E171" s="6" t="inlineStr">
        <is>
          <t>State law; 1 Jan 2026</t>
        </is>
      </c>
      <c r="F171" s="6" t="inlineStr">
        <is>
          <t>AI-CTRL-011, AI-CTRL-029, AI-CTRL-038</t>
        </is>
      </c>
      <c r="G171" s="6" t="inlineStr">
        <is>
          <t>AI-R02, AI-R08, AI-R09, AI-R15, AI-R18, AI-R28</t>
        </is>
      </c>
      <c r="H171" s="6" t="inlineStr">
        <is>
          <t>Reported</t>
        </is>
      </c>
      <c r="I171" s="6" t="inlineStr">
        <is>
          <t>Thresholds; text</t>
        </is>
      </c>
      <c r="J171" s="6" t="inlineStr"/>
      <c r="K171" s="6" t="inlineStr">
        <is>
          <t>https://nachi065.github.io/AI-Security-Wiki/22_US_AI_Compliance/03_Regulatory_Crosswalk.html</t>
        </is>
      </c>
    </row>
    <row r="172">
      <c r="A172" s="102" t="inlineStr">
        <is>
          <t>US</t>
        </is>
      </c>
      <c r="B172" s="102" t="inlineStr">
        <is>
          <t>US7</t>
        </is>
      </c>
      <c r="C172" s="102" t="inlineStr">
        <is>
          <t>California AI Transparency Act (SB 942 as amended)</t>
        </is>
      </c>
      <c r="D172" s="102" t="inlineStr">
        <is>
          <t>Binding in scope</t>
        </is>
      </c>
      <c r="E172" s="102" t="inlineStr">
        <is>
          <t>State law; operative 2 Aug 2026 (reported)</t>
        </is>
      </c>
      <c r="F172" s="102" t="inlineStr">
        <is>
          <t>AI-CTRL-039</t>
        </is>
      </c>
      <c r="G172" s="102" t="inlineStr">
        <is>
          <t>AI-R12, AI-R14, AI-R20</t>
        </is>
      </c>
      <c r="H172" s="102" t="inlineStr">
        <is>
          <t>Reported</t>
        </is>
      </c>
      <c r="I172" s="102" t="inlineStr">
        <is>
          <t>Bill numbers (AB 853 of 2025 and SB 1000 of 2026 are reported to amend the Act, SB 1000 enacted 30 Sep 2026 per a law-firm note); scope; the 2 Aug 2026 date. leginfo.legislature.ca.gov could not be read automatically on 21 Oct 2026</t>
        </is>
      </c>
      <c r="J172" s="102" t="inlineStr"/>
      <c r="K172" s="102" t="inlineStr">
        <is>
          <t>https://nachi065.github.io/AI-Security-Wiki/22_US_AI_Compliance/03_Regulatory_Crosswalk.html</t>
        </is>
      </c>
    </row>
    <row r="173">
      <c r="A173" s="6" t="inlineStr">
        <is>
          <t>US</t>
        </is>
      </c>
      <c r="B173" s="6" t="inlineStr">
        <is>
          <t>US8</t>
        </is>
      </c>
      <c r="C173" s="6" t="inlineStr">
        <is>
          <t>California CCPA regulations on ADMT, risk assessments and cybersecurity audits</t>
        </is>
      </c>
      <c r="D173" s="6" t="inlineStr">
        <is>
          <t>Binding in scope</t>
        </is>
      </c>
      <c r="E173" s="6" t="inlineStr">
        <is>
          <t>Binding regulation; approved by the Office of Administrative Law 22 Sep 2025, effective 1 Jan 2026 (CPPA page)</t>
        </is>
      </c>
      <c r="F173" s="6" t="inlineStr">
        <is>
          <t>AI-CTRL-013, AI-CTRL-023, AI-CTRL-037, AI-CTRL-041</t>
        </is>
      </c>
      <c r="G173" s="6" t="inlineStr">
        <is>
          <t>AI-R02, AI-R03, AI-R07, AI-R10, AI-R12, AI-R14, AI-R15, AI-R18, AI-R19, AI-R27, AI-R28, AI-R55</t>
        </is>
      </c>
      <c r="H173" s="6" t="inlineStr">
        <is>
          <t>Reported</t>
        </is>
      </c>
      <c r="I173" s="6" t="inlineStr">
        <is>
          <t>Approval and effective date come from the CPPA page; other details from law-firm summaries. Read the approved text for definitions, exceptions and thresholds</t>
        </is>
      </c>
      <c r="J173" s="6" t="inlineStr"/>
      <c r="K173" s="6" t="inlineStr">
        <is>
          <t>https://nachi065.github.io/AI-Security-Wiki/22_US_AI_Compliance/03_Regulatory_Crosswalk.html</t>
        </is>
      </c>
    </row>
    <row r="174">
      <c r="A174" s="102" t="inlineStr">
        <is>
          <t>US</t>
        </is>
      </c>
      <c r="B174" s="102" t="inlineStr">
        <is>
          <t>US9</t>
        </is>
      </c>
      <c r="C174" s="102" t="inlineStr">
        <is>
          <t>Texas TRAIGA (HB 149)</t>
        </is>
      </c>
      <c r="D174" s="102" t="inlineStr">
        <is>
          <t>Binding in scope</t>
        </is>
      </c>
      <c r="E174" s="102" t="inlineStr">
        <is>
          <t>State law; 1 Jan 2026</t>
        </is>
      </c>
      <c r="F174" s="102" t="inlineStr">
        <is>
          <t>AI-CTRL-012, AI-CTRL-013</t>
        </is>
      </c>
      <c r="G174" s="102" t="inlineStr">
        <is>
          <t>AI-R02, AI-R03, AI-R10, AI-R18, AI-R19, AI-R27, AI-R28</t>
        </is>
      </c>
      <c r="H174" s="102" t="inlineStr">
        <is>
          <t>Reported</t>
        </is>
      </c>
      <c r="I174" s="102" t="inlineStr">
        <is>
          <t>Obligations list; enforcement</t>
        </is>
      </c>
      <c r="J174" s="102" t="inlineStr"/>
      <c r="K174" s="102" t="inlineStr">
        <is>
          <t>https://nachi065.github.io/AI-Security-Wiki/22_US_AI_Compliance/03_Regulatory_Crosswalk.html</t>
        </is>
      </c>
    </row>
    <row r="175">
      <c r="A175" s="6" t="inlineStr">
        <is>
          <t>US</t>
        </is>
      </c>
      <c r="B175" s="6" t="inlineStr">
        <is>
          <t>US10</t>
        </is>
      </c>
      <c r="C175" s="6" t="inlineStr">
        <is>
          <t>Illinois HB 3773</t>
        </is>
      </c>
      <c r="D175" s="6" t="inlineStr">
        <is>
          <t>Binding in scope</t>
        </is>
      </c>
      <c r="E175" s="6" t="inlineStr">
        <is>
          <t>State law; 1 Jan 2026</t>
        </is>
      </c>
      <c r="F175" s="6" t="inlineStr">
        <is>
          <t>AI-CTRL-023, AI-CTRL-041</t>
        </is>
      </c>
      <c r="G175" s="6" t="inlineStr">
        <is>
          <t>AI-R07, AI-R12, AI-R14, AI-R15, AI-R19</t>
        </is>
      </c>
      <c r="H175" s="6" t="inlineStr">
        <is>
          <t>Reported</t>
        </is>
      </c>
      <c r="I175" s="6" t="inlineStr">
        <is>
          <t>Scope</t>
        </is>
      </c>
      <c r="J175" s="6" t="inlineStr"/>
      <c r="K175" s="6" t="inlineStr">
        <is>
          <t>https://nachi065.github.io/AI-Security-Wiki/22_US_AI_Compliance/03_Regulatory_Crosswalk.html</t>
        </is>
      </c>
    </row>
    <row r="176">
      <c r="A176" s="102" t="inlineStr">
        <is>
          <t>US</t>
        </is>
      </c>
      <c r="B176" s="102" t="inlineStr">
        <is>
          <t>US11</t>
        </is>
      </c>
      <c r="C176" s="102" t="inlineStr">
        <is>
          <t>NYC Local Law 144; NY RAISE Act; Utah SB 149 as amended by SB 226 (2025)</t>
        </is>
      </c>
      <c r="D176" s="102" t="inlineStr">
        <is>
          <t>Binding in scope</t>
        </is>
      </c>
      <c r="E176" s="102" t="inlineStr">
        <is>
          <t>Local and state</t>
        </is>
      </c>
      <c r="F176" s="102" t="inlineStr">
        <is>
          <t>AI-CTRL-039, AI-CTRL-041</t>
        </is>
      </c>
      <c r="G176" s="102" t="inlineStr">
        <is>
          <t>AI-R12, AI-R14, AI-R15, AI-R20</t>
        </is>
      </c>
      <c r="H176" s="102" t="inlineStr">
        <is>
          <t>Verified</t>
        </is>
      </c>
      <c r="I176" s="102" t="inlineStr">
        <is>
          <t>Utah changes after 2025; NYC rule changes</t>
        </is>
      </c>
      <c r="J176" s="102" t="inlineStr">
        <is>
          <t>NYC DCWP: Automated employment decision tools; NY Senate: S6953-B; NY Senate: A9449; Utah SB 149 (2024) enrolled; Utah SB 226 (2025) enrolled; Utah Code 63I-2-213, retrieved 21 Oct 2026</t>
        </is>
      </c>
      <c r="K176" s="102" t="inlineStr">
        <is>
          <t>https://nachi065.github.io/AI-Security-Wiki/22_US_AI_Compliance/03_Regulatory_Crosswalk.html</t>
        </is>
      </c>
    </row>
    <row r="177">
      <c r="A177" s="6" t="inlineStr">
        <is>
          <t>US</t>
        </is>
      </c>
      <c r="B177" s="6" t="inlineStr">
        <is>
          <t>US12</t>
        </is>
      </c>
      <c r="C177" s="6" t="inlineStr">
        <is>
          <t>FTC Act s.5; EEOC and anti-discrimination law; ECOA adverse action; HIPAA; FDA for medical AI; bank model risk guidance (SR 26-2 and OCC Bulletin 2026-13, which replaced SR 11-7 on 17 Apr 2026)</t>
        </is>
      </c>
      <c r="D177" s="6" t="inlineStr">
        <is>
          <t>Binding law</t>
        </is>
      </c>
      <c r="E177" s="6" t="inlineStr">
        <is>
          <t>Existing federal law</t>
        </is>
      </c>
      <c r="F177" s="6" t="inlineStr">
        <is>
          <t>AI-CTRL-012, AI-CTRL-037, AI-CTRL-041</t>
        </is>
      </c>
      <c r="G177" s="6" t="inlineStr">
        <is>
          <t>AI-R02, AI-R03, AI-R12, AI-R14, AI-R15, AI-R18, AI-R19, AI-R27, AI-R28, AI-R55</t>
        </is>
      </c>
      <c r="H177" s="6" t="inlineStr">
        <is>
          <t>Recalled</t>
        </is>
      </c>
      <c r="I177" s="6" t="inlineStr">
        <is>
          <t>Current enforcement and guidance</t>
        </is>
      </c>
      <c r="J177" s="6" t="inlineStr"/>
      <c r="K177" s="6" t="inlineStr">
        <is>
          <t>https://nachi065.github.io/AI-Security-Wiki/22_US_AI_Compliance/03_Regulatory_Crosswalk.html</t>
        </is>
      </c>
    </row>
    <row r="178">
      <c r="A178" s="102" t="inlineStr">
        <is>
          <t>US</t>
        </is>
      </c>
      <c r="B178" s="102" t="inlineStr">
        <is>
          <t>US13</t>
        </is>
      </c>
      <c r="C178" s="102" t="inlineStr">
        <is>
          <t>State legislative volume</t>
        </is>
      </c>
      <c r="D178" s="102" t="inlineStr">
        <is>
          <t>Context</t>
        </is>
      </c>
      <c r="E178" s="102" t="inlineStr">
        <is>
          <t>Context</t>
        </is>
      </c>
      <c r="F178" s="102" t="inlineStr">
        <is>
          <t>None</t>
        </is>
      </c>
      <c r="G178" s="102" t="inlineStr">
        <is>
          <t>None</t>
        </is>
      </c>
      <c r="H178" s="102" t="inlineStr">
        <is>
          <t>Reported</t>
        </is>
      </c>
      <c r="I178" s="102" t="inlineStr">
        <is>
          <t>Figures</t>
        </is>
      </c>
      <c r="J178" s="102" t="inlineStr"/>
      <c r="K178" s="102" t="inlineStr">
        <is>
          <t>https://nachi065.github.io/AI-Security-Wiki/22_US_AI_Compliance/03_Regulatory_Crosswalk.html</t>
        </is>
      </c>
    </row>
    <row r="179">
      <c r="A179" s="6" t="inlineStr">
        <is>
          <t>US</t>
        </is>
      </c>
      <c r="B179" s="6" t="inlineStr">
        <is>
          <t>US14</t>
        </is>
      </c>
      <c r="C179" s="6" t="inlineStr">
        <is>
          <t>FTC enforcement and business guidance on AI under FTC Act s.5</t>
        </is>
      </c>
      <c r="D179" s="6" t="inlineStr">
        <is>
          <t>Binding law</t>
        </is>
      </c>
      <c r="E179" s="6" t="inlineStr">
        <is>
          <t>Existing federal law; guidance</t>
        </is>
      </c>
      <c r="F179" s="6" t="inlineStr">
        <is>
          <t>AI-CTRL-012, AI-CTRL-029, AI-CTRL-038, AI-CTRL-039</t>
        </is>
      </c>
      <c r="G179" s="6" t="inlineStr">
        <is>
          <t>AI-R02, AI-R03, AI-R08, AI-R09, AI-R12, AI-R14, AI-R15, AI-R18, AI-R19, AI-R20, AI-R27, AI-R28</t>
        </is>
      </c>
      <c r="H179" s="6" t="inlineStr">
        <is>
          <t>Recalled</t>
        </is>
      </c>
      <c r="I179" s="6" t="inlineStr">
        <is>
          <t>Current Commission priorities; order names and dates</t>
        </is>
      </c>
      <c r="J179" s="6" t="inlineStr"/>
      <c r="K179" s="6" t="inlineStr">
        <is>
          <t>https://nachi065.github.io/AI-Security-Wiki/22_US_AI_Compliance/03_Regulatory_Crosswalk.html</t>
        </is>
      </c>
    </row>
    <row r="180">
      <c r="A180" s="102" t="inlineStr">
        <is>
          <t>US</t>
        </is>
      </c>
      <c r="B180" s="102" t="inlineStr">
        <is>
          <t>US15</t>
        </is>
      </c>
      <c r="C180" s="102" t="inlineStr">
        <is>
          <t>NAIC Principles on Artificial Intelligence (2020) and Model Bulletin on the Use of Artificial Intelligence Systems by Insurers (adopted Dec 2023)</t>
        </is>
      </c>
      <c r="D180" s="102" t="inlineStr">
        <is>
          <t>Guidance</t>
        </is>
      </c>
      <c r="E180" s="102" t="inlineStr">
        <is>
          <t>Model bulletin; applies where a state insurance regulator has adopted it</t>
        </is>
      </c>
      <c r="F180" s="102" t="inlineStr">
        <is>
          <t>AI-CTRL-012, AI-CTRL-014, AI-CTRL-037, AI-CTRL-038, AI-CTRL-041</t>
        </is>
      </c>
      <c r="G180" s="102" t="inlineStr">
        <is>
          <t>AI-R02, AI-R03, AI-R08, AI-R09, AI-R10, AI-R12, AI-R14, AI-R15, AI-R16, AI-R18, AI-R19, AI-R27, AI-R28, AI-R55</t>
        </is>
      </c>
      <c r="H180" s="102" t="inlineStr">
        <is>
          <t>Recalled</t>
        </is>
      </c>
      <c r="I180" s="102" t="inlineStr">
        <is>
          <t>Which states have adopted the bulletin; any state changes to its text</t>
        </is>
      </c>
      <c r="J180" s="102" t="inlineStr"/>
      <c r="K180" s="102" t="inlineStr">
        <is>
          <t>https://nachi065.github.io/AI-Security-Wiki/22_US_AI_Compliance/03_Regulatory_Crosswalk.html</t>
        </is>
      </c>
    </row>
    <row r="181">
      <c r="A181" s="6" t="inlineStr">
        <is>
          <t>US</t>
        </is>
      </c>
      <c r="B181" s="6" t="inlineStr">
        <is>
          <t>US16</t>
        </is>
      </c>
      <c r="C181" s="6" t="inlineStr">
        <is>
          <t>Colorado SB 21-169 (C.R.S. 10-3-1104.9) and Division of Insurance rules under it</t>
        </is>
      </c>
      <c r="D181" s="6" t="inlineStr">
        <is>
          <t>Binding in scope</t>
        </is>
      </c>
      <c r="E181" s="6" t="inlineStr">
        <is>
          <t>State law; insurers only</t>
        </is>
      </c>
      <c r="F181" s="6" t="inlineStr">
        <is>
          <t>AI-CTRL-014, AI-CTRL-029, AI-CTRL-037, AI-CTRL-041</t>
        </is>
      </c>
      <c r="G181" s="6" t="inlineStr">
        <is>
          <t>AI-R02, AI-R08, AI-R10, AI-R12, AI-R14, AI-R15, AI-R16, AI-R18, AI-R28, AI-R55</t>
        </is>
      </c>
      <c r="H181" s="6" t="inlineStr">
        <is>
          <t>Recalled</t>
        </is>
      </c>
      <c r="I181" s="6" t="inlineStr">
        <is>
          <t>Lines of insurance now covered; testing and reporting rules; dates</t>
        </is>
      </c>
      <c r="J181" s="6" t="inlineStr"/>
      <c r="K181" s="6" t="inlineStr">
        <is>
          <t>https://nachi065.github.io/AI-Security-Wiki/22_US_AI_Compliance/03_Regulatory_Crosswalk.html</t>
        </is>
      </c>
    </row>
    <row r="182">
      <c r="A182" s="102" t="inlineStr">
        <is>
          <t>US</t>
        </is>
      </c>
      <c r="B182" s="102" t="inlineStr">
        <is>
          <t>US17</t>
        </is>
      </c>
      <c r="C182" s="102" t="inlineStr">
        <is>
          <t>HIPAA Privacy, Security and Breach Notification Rules (45 CFR Parts 160 and 164)</t>
        </is>
      </c>
      <c r="D182" s="102" t="inlineStr">
        <is>
          <t>Binding in scope</t>
        </is>
      </c>
      <c r="E182" s="102" t="inlineStr">
        <is>
          <t>Existing federal law; covered entities and business associates</t>
        </is>
      </c>
      <c r="F182" s="102" t="inlineStr">
        <is>
          <t>AI-CTRL-013, AI-CTRL-014, AI-CTRL-017, AI-CTRL-035</t>
        </is>
      </c>
      <c r="G182" s="102" t="inlineStr">
        <is>
          <t>AI-R01, AI-R03, AI-R06, AI-R08, AI-R09, AI-R10, AI-R16, AI-R17, AI-R20, AI-R27, AI-R28</t>
        </is>
      </c>
      <c r="H182" s="102" t="inlineStr">
        <is>
          <t>Recalled</t>
        </is>
      </c>
      <c r="I182" s="102" t="inlineStr">
        <is>
          <t>Proposed Security Rule changes; HHS guidance on AI</t>
        </is>
      </c>
      <c r="J182" s="102" t="inlineStr"/>
      <c r="K182" s="102" t="inlineStr">
        <is>
          <t>https://nachi065.github.io/AI-Security-Wiki/22_US_AI_Compliance/03_Regulatory_Crosswalk.html</t>
        </is>
      </c>
    </row>
    <row r="183">
      <c r="A183" s="6" t="inlineStr">
        <is>
          <t>Hong Kong (incl. HKMA)</t>
        </is>
      </c>
      <c r="B183" s="6" t="inlineStr">
        <is>
          <t>HK1</t>
        </is>
      </c>
      <c r="C183" s="6" t="inlineStr">
        <is>
          <t>HKMA Supervisory Guidance for Responsible Adoption of Artificial Intelligence (15 Oct 2026)</t>
        </is>
      </c>
      <c r="D183" s="6" t="inlineStr">
        <is>
          <t>Guidance</t>
        </is>
      </c>
      <c r="E183" s="6" t="inlineStr">
        <is>
          <t>Supervisory expectations for authorized institutions, applied proportionately; no deadline ("in a timely manner")</t>
        </is>
      </c>
      <c r="F183" s="6" t="inlineStr">
        <is>
          <t>AI-CTRL-011, AI-CTRL-012, AI-CTRL-014, AI-CTRL-025, AI-CTRL-037, AI-CTRL-041, AI-CTRL-045</t>
        </is>
      </c>
      <c r="G183" s="6" t="inlineStr">
        <is>
          <t>AI-R02, AI-R03, AI-R07, AI-R08, AI-R10, AI-R11, AI-R12, AI-R14, AI-R15, AI-R16, AI-R18, AI-R19, AI-R21, AI-R25, AI-R27, AI-R28, AI-R55</t>
        </is>
      </c>
      <c r="H183" s="6" t="inlineStr">
        <is>
          <t>Verified</t>
        </is>
      </c>
      <c r="I183" s="6" t="inlineStr">
        <is>
          <t>Circular reference number</t>
        </is>
      </c>
      <c r="J183" s="6" t="inlineStr">
        <is>
          <t>HKMA: Annex A, retrieved 25 Oct 2026</t>
        </is>
      </c>
      <c r="K183" s="6" t="inlineStr">
        <is>
          <t>https://nachi065.github.io/AI-Security-Wiki/26_Hong_Kong_AI_Compliance/03_Regulatory_Crosswalk.html</t>
        </is>
      </c>
    </row>
    <row r="184">
      <c r="A184" s="102" t="inlineStr">
        <is>
          <t>Hong Kong (incl. HKMA)</t>
        </is>
      </c>
      <c r="B184" s="102" t="inlineStr">
        <is>
          <t>HK2</t>
        </is>
      </c>
      <c r="C184" s="102" t="inlineStr">
        <is>
          <t>HKMA High-level Principles on Artificial Intelligence (1 Nov 2019)</t>
        </is>
      </c>
      <c r="D184" s="102" t="inlineStr">
        <is>
          <t>Context</t>
        </is>
      </c>
      <c r="E184" s="102" t="inlineStr">
        <is>
          <t>Superseded by HK1 on 15 Oct 2026</t>
        </is>
      </c>
      <c r="F184" s="102" t="inlineStr">
        <is>
          <t>AI-CTRL-012</t>
        </is>
      </c>
      <c r="G184" s="102" t="inlineStr">
        <is>
          <t>AI-R02, AI-R03, AI-R18, AI-R19, AI-R27, AI-R28</t>
        </is>
      </c>
      <c r="H184" s="102" t="inlineStr">
        <is>
          <t>Verified</t>
        </is>
      </c>
      <c r="I184" s="102" t="inlineStr">
        <is>
          <t>Whether the HKMA register still lists it as current</t>
        </is>
      </c>
      <c r="J184" s="102" t="inlineStr">
        <is>
          <t>HKMA: Annex A (supersession statement), retrieved 25 Oct 2026</t>
        </is>
      </c>
      <c r="K184" s="102" t="inlineStr">
        <is>
          <t>https://nachi065.github.io/AI-Security-Wiki/26_Hong_Kong_AI_Compliance/03_Regulatory_Crosswalk.html</t>
        </is>
      </c>
    </row>
    <row r="185">
      <c r="A185" s="6" t="inlineStr">
        <is>
          <t>Hong Kong (incl. HKMA)</t>
        </is>
      </c>
      <c r="B185" s="6" t="inlineStr">
        <is>
          <t>HK3</t>
        </is>
      </c>
      <c r="C185" s="6" t="inlineStr">
        <is>
          <t>HKMA circular: Consumer Protection in respect of Use of Generative Artificial Intelligence (19 Aug 2024)</t>
        </is>
      </c>
      <c r="D185" s="6" t="inlineStr">
        <is>
          <t>Guidance</t>
        </is>
      </c>
      <c r="E185" s="6" t="inlineStr">
        <is>
          <t>Customer-facing generative AI; human-in-the-loop in the early stage</t>
        </is>
      </c>
      <c r="F185" s="6" t="inlineStr">
        <is>
          <t>AI-CTRL-041, AI-CTRL-045</t>
        </is>
      </c>
      <c r="G185" s="6" t="inlineStr">
        <is>
          <t>AI-R07, AI-R12, AI-R14, AI-R15, AI-R18, AI-R19, AI-R28</t>
        </is>
      </c>
      <c r="H185" s="6" t="inlineStr">
        <is>
          <t>Verified</t>
        </is>
      </c>
      <c r="I185" s="6" t="inlineStr">
        <is>
          <t>The circular's own text (only its description in HK1 footnote 3 was read)</t>
        </is>
      </c>
      <c r="J185" s="6" t="inlineStr">
        <is>
          <t>HKMA: Annex A, footnote 3, retrieved 25 Oct 2026 (as cited in HK1)</t>
        </is>
      </c>
      <c r="K185" s="6" t="inlineStr">
        <is>
          <t>https://nachi065.github.io/AI-Security-Wiki/26_Hong_Kong_AI_Compliance/03_Regulatory_Crosswalk.html</t>
        </is>
      </c>
    </row>
    <row r="186">
      <c r="A186" s="102" t="inlineStr">
        <is>
          <t>Hong Kong (incl. HKMA)</t>
        </is>
      </c>
      <c r="B186" s="102" t="inlineStr">
        <is>
          <t>HK4</t>
        </is>
      </c>
      <c r="C186" s="102" t="inlineStr">
        <is>
          <t>HKMA consumer protection circular on big data analytics and AI (5 Nov 2019)</t>
        </is>
      </c>
      <c r="D186" s="102" t="inlineStr">
        <is>
          <t>Guidance</t>
        </is>
      </c>
      <c r="E186" s="102" t="inlineStr">
        <is>
          <t>Consumer protection for AI-based products; disclosure and opt-out expectations continue under HK1</t>
        </is>
      </c>
      <c r="F186" s="102" t="inlineStr">
        <is>
          <t>AI-CTRL-041</t>
        </is>
      </c>
      <c r="G186" s="102" t="inlineStr">
        <is>
          <t>AI-R12, AI-R14, AI-R15</t>
        </is>
      </c>
      <c r="H186" s="102" t="inlineStr">
        <is>
          <t>Reported</t>
        </is>
      </c>
      <c r="I186" s="102" t="inlineStr">
        <is>
          <t>Title, date and text</t>
        </is>
      </c>
      <c r="J186" s="102" t="inlineStr"/>
      <c r="K186" s="102" t="inlineStr">
        <is>
          <t>https://nachi065.github.io/AI-Security-Wiki/26_Hong_Kong_AI_Compliance/03_Regulatory_Crosswalk.html</t>
        </is>
      </c>
    </row>
    <row r="187">
      <c r="A187" s="6" t="inlineStr">
        <is>
          <t>Hong Kong (incl. HKMA)</t>
        </is>
      </c>
      <c r="B187" s="6" t="inlineStr">
        <is>
          <t>HK5</t>
        </is>
      </c>
      <c r="C187" s="6" t="inlineStr">
        <is>
          <t>SFC circular to licensed corporations on generative AI language models (12 Nov 2024)</t>
        </is>
      </c>
      <c r="D187" s="6" t="inlineStr">
        <is>
          <t>Guidance</t>
        </is>
      </c>
      <c r="E187" s="6" t="inlineStr">
        <is>
          <t>Four core principles; investment advice and research treated as high-risk; notification to the SFC for high-risk use (reported)</t>
        </is>
      </c>
      <c r="F187" s="6" t="inlineStr">
        <is>
          <t>AI-CTRL-005, AI-CTRL-011, AI-CTRL-012, AI-CTRL-014, AI-CTRL-034</t>
        </is>
      </c>
      <c r="G187" s="6" t="inlineStr">
        <is>
          <t>AI-R02, AI-R03, AI-R05, AI-R06, AI-R07, AI-R08, AI-R10, AI-R16, AI-R17, AI-R18, AI-R19, AI-R20, AI-R24, AI-R27, AI-R28</t>
        </is>
      </c>
      <c r="H187" s="6" t="inlineStr">
        <is>
          <t>Reported</t>
        </is>
      </c>
      <c r="I187" s="6" t="inlineStr">
        <is>
          <t>The circular text and any update</t>
        </is>
      </c>
      <c r="J187" s="6" t="inlineStr"/>
      <c r="K187" s="6" t="inlineStr">
        <is>
          <t>https://nachi065.github.io/AI-Security-Wiki/26_Hong_Kong_AI_Compliance/03_Regulatory_Crosswalk.html</t>
        </is>
      </c>
    </row>
    <row r="188">
      <c r="A188" s="102" t="inlineStr">
        <is>
          <t>Hong Kong (incl. HKMA)</t>
        </is>
      </c>
      <c r="B188" s="102" t="inlineStr">
        <is>
          <t>HK6</t>
        </is>
      </c>
      <c r="C188" s="102" t="inlineStr">
        <is>
          <t>PCPD Artificial Intelligence: Model Personal Data Protection Framework (11 Jun 2024)</t>
        </is>
      </c>
      <c r="D188" s="102" t="inlineStr">
        <is>
          <t>Guidance</t>
        </is>
      </c>
      <c r="E188" s="102" t="inlineStr">
        <is>
          <t>Not law; four areas for organisations that buy, deploy and operate AI handling personal data</t>
        </is>
      </c>
      <c r="F188" s="102" t="inlineStr">
        <is>
          <t>AI-CTRL-012, AI-CTRL-013, AI-CTRL-045</t>
        </is>
      </c>
      <c r="G188" s="102" t="inlineStr">
        <is>
          <t>AI-R02, AI-R03, AI-R07, AI-R10, AI-R12, AI-R14, AI-R18, AI-R19, AI-R27, AI-R28</t>
        </is>
      </c>
      <c r="H188" s="102" t="inlineStr">
        <is>
          <t>Reported</t>
        </is>
      </c>
      <c r="I188" s="102" t="inlineStr">
        <is>
          <t>The framework text</t>
        </is>
      </c>
      <c r="J188" s="102" t="inlineStr"/>
      <c r="K188" s="102" t="inlineStr">
        <is>
          <t>https://nachi065.github.io/AI-Security-Wiki/26_Hong_Kong_AI_Compliance/03_Regulatory_Crosswalk.html</t>
        </is>
      </c>
    </row>
    <row r="189">
      <c r="A189" s="6" t="inlineStr">
        <is>
          <t>Hong Kong (incl. HKMA)</t>
        </is>
      </c>
      <c r="B189" s="6" t="inlineStr">
        <is>
          <t>HK7</t>
        </is>
      </c>
      <c r="C189" s="6" t="inlineStr">
        <is>
          <t>Personal Data (Privacy) Ordinance (Cap. 486)</t>
        </is>
      </c>
      <c r="D189" s="6" t="inlineStr">
        <is>
          <t>Binding law</t>
        </is>
      </c>
      <c r="E189" s="6" t="inlineStr">
        <is>
          <t>Binding law</t>
        </is>
      </c>
      <c r="F189" s="6" t="inlineStr">
        <is>
          <t>AI-CTRL-013, AI-CTRL-017</t>
        </is>
      </c>
      <c r="G189" s="6" t="inlineStr">
        <is>
          <t>AI-R01, AI-R03, AI-R06, AI-R10, AI-R17, AI-R27, AI-R28</t>
        </is>
      </c>
      <c r="H189" s="6" t="inlineStr">
        <is>
          <t>Recalled</t>
        </is>
      </c>
      <c r="I189" s="6" t="inlineStr">
        <is>
          <t>Provisions relevant to AI</t>
        </is>
      </c>
      <c r="J189" s="6" t="inlineStr"/>
      <c r="K189" s="6" t="inlineStr">
        <is>
          <t>https://nachi065.github.io/AI-Security-Wiki/26_Hong_Kong_AI_Compliance/03_Regulatory_Crosswalk.html</t>
        </is>
      </c>
    </row>
    <row r="190">
      <c r="A190" s="102" t="inlineStr">
        <is>
          <t>Hong Kong (incl. HKMA)</t>
        </is>
      </c>
      <c r="B190" s="102" t="inlineStr">
        <is>
          <t>HK8</t>
        </is>
      </c>
      <c r="C190" s="102" t="inlineStr">
        <is>
          <t>GenA.I. Sandbox++ (HKMA, SFC, Insurance Authority, MPFA; 5 Mar 2026)</t>
        </is>
      </c>
      <c r="D190" s="102" t="inlineStr">
        <is>
          <t>Context</t>
        </is>
      </c>
      <c r="E190" s="102" t="inlineStr">
        <is>
          <t>Programme</t>
        </is>
      </c>
      <c r="F190" s="102" t="inlineStr">
        <is>
          <t>None</t>
        </is>
      </c>
      <c r="G190" s="102" t="inlineStr">
        <is>
          <t>None</t>
        </is>
      </c>
      <c r="H190" s="102" t="inlineStr">
        <is>
          <t>Verified</t>
        </is>
      </c>
      <c r="I190" s="102" t="inlineStr">
        <is>
          <t>Cohort dates</t>
        </is>
      </c>
      <c r="J190" s="102" t="inlineStr">
        <is>
          <t>Hong Kong Government press release, retrieved 25 Oct 2026</t>
        </is>
      </c>
      <c r="K190" s="102" t="inlineStr">
        <is>
          <t>https://nachi065.github.io/AI-Security-Wiki/26_Hong_Kong_AI_Compliance/03_Regulatory_Crosswalk.html</t>
        </is>
      </c>
    </row>
    <row r="191">
      <c r="A191" s="6" t="inlineStr">
        <is>
          <t>Hong Kong (incl. HKMA)</t>
        </is>
      </c>
      <c r="B191" s="6" t="inlineStr">
        <is>
          <t>HK9</t>
        </is>
      </c>
      <c r="C191" s="6" t="inlineStr">
        <is>
          <t>HKMA discussion paper on agentic AI governance</t>
        </is>
      </c>
      <c r="D191" s="6" t="inlineStr">
        <is>
          <t>Proposed</t>
        </is>
      </c>
      <c r="E191" s="6" t="inlineStr">
        <is>
          <t>Announced 15 Oct 2026; not yet published</t>
        </is>
      </c>
      <c r="F191" s="6" t="inlineStr">
        <is>
          <t>AI-CTRL-006, AI-CTRL-025</t>
        </is>
      </c>
      <c r="G191" s="6" t="inlineStr">
        <is>
          <t>AI-R07, AI-R11, AI-R21, AI-R25, AI-R55</t>
        </is>
      </c>
      <c r="H191" s="6" t="inlineStr">
        <is>
          <t>Verified</t>
        </is>
      </c>
      <c r="I191" s="6" t="inlineStr">
        <is>
          <t>Publication and content</t>
        </is>
      </c>
      <c r="J191" s="6" t="inlineStr">
        <is>
          <t>HKMA press release, retrieved 25 Oct 2026 (announcement only)</t>
        </is>
      </c>
      <c r="K191" s="6" t="inlineStr">
        <is>
          <t>https://nachi065.github.io/AI-Security-Wiki/26_Hong_Kong_AI_Compliance/03_Regulatory_Crosswalk.html</t>
        </is>
      </c>
    </row>
    <row r="192">
      <c r="A192" s="102" t="inlineStr">
        <is>
          <t>Hong Kong (incl. HKMA)</t>
        </is>
      </c>
      <c r="B192" s="102" t="inlineStr">
        <is>
          <t>Board and senior management accountability: t</t>
        </is>
      </c>
      <c r="C192" s="102" t="inlineStr">
        <is>
          <t>Board and senior management accountability: the board approves an AI strategy with the approach and risk appetite; roles across the three lines for approval and monitoring; regular review by senior management</t>
        </is>
      </c>
      <c r="D192" s="102" t="inlineStr"/>
      <c r="E192" s="102" t="inlineStr"/>
      <c r="F192" s="102" t="inlineStr">
        <is>
          <t>AI-CTRL-012, AI-CTRL-037</t>
        </is>
      </c>
      <c r="G192" s="102" t="inlineStr">
        <is>
          <t>AI-R02, AI-R03, AI-R18, AI-R19, AI-R27, AI-R28, AI-R55</t>
        </is>
      </c>
      <c r="H192" s="102" t="inlineStr">
        <is>
          <t>Partial</t>
        </is>
      </c>
      <c r="I192" s="102" t="inlineStr"/>
      <c r="J192" s="102" t="inlineStr"/>
      <c r="K192" s="102" t="inlineStr">
        <is>
          <t>https://nachi065.github.io/AI-Security-Wiki/26_Hong_Kong_AI_Compliance/03_Regulatory_Crosswalk.html</t>
        </is>
      </c>
    </row>
    <row r="193">
      <c r="A193" s="6" t="inlineStr">
        <is>
          <t>Hong Kong (incl. HKMA)</t>
        </is>
      </c>
      <c r="B193" s="6" t="inlineStr">
        <is>
          <t xml:space="preserve">Use-case owners and human oversight: a named </t>
        </is>
      </c>
      <c r="C193" s="6" t="inlineStr">
        <is>
          <t>Use-case owners and human oversight: a named owner for each use case; in-the-loop, on-the-loop or in-command oversight with risk-based triggers; reviewers able to challenge, override or stop; oversight tested</t>
        </is>
      </c>
      <c r="D193" s="6" t="inlineStr"/>
      <c r="E193" s="6" t="inlineStr"/>
      <c r="F193" s="6" t="inlineStr">
        <is>
          <t>AI-CTRL-011, AI-CTRL-023, AI-CTRL-045</t>
        </is>
      </c>
      <c r="G193" s="6" t="inlineStr">
        <is>
          <t>AI-R02, AI-R07, AI-R12, AI-R14, AI-R18, AI-R19, AI-R28</t>
        </is>
      </c>
      <c r="H193" s="6" t="inlineStr">
        <is>
          <t>Direct</t>
        </is>
      </c>
      <c r="I193" s="6" t="inlineStr"/>
      <c r="J193" s="6" t="inlineStr"/>
      <c r="K193" s="6" t="inlineStr">
        <is>
          <t>https://nachi065.github.io/AI-Security-Wiki/26_Hong_Kong_AI_Compliance/03_Regulatory_Crosswalk.html</t>
        </is>
      </c>
    </row>
    <row r="194">
      <c r="A194" s="102" t="inlineStr">
        <is>
          <t>Hong Kong (incl. HKMA)</t>
        </is>
      </c>
      <c r="B194" s="102" t="inlineStr">
        <is>
          <t>Inventory: an up-to-date inventory of approve</t>
        </is>
      </c>
      <c r="C194" s="102" t="inlineStr">
        <is>
          <t>Inventory: an up-to-date inventory of approved use cases including third-party and embedded AI, with standard attributes; unlisted AI restricted; shadow AI controlled</t>
        </is>
      </c>
      <c r="D194" s="102" t="inlineStr"/>
      <c r="E194" s="102" t="inlineStr"/>
      <c r="F194" s="102" t="inlineStr">
        <is>
          <t>AI-CTRL-001, AI-CTRL-011</t>
        </is>
      </c>
      <c r="G194" s="102" t="inlineStr">
        <is>
          <t>AI-R02, AI-R18</t>
        </is>
      </c>
      <c r="H194" s="102" t="inlineStr">
        <is>
          <t>Direct</t>
        </is>
      </c>
      <c r="I194" s="102" t="inlineStr"/>
      <c r="J194" s="102" t="inlineStr"/>
      <c r="K194" s="102" t="inlineStr">
        <is>
          <t>https://nachi065.github.io/AI-Security-Wiki/26_Hong_Kong_AI_Compliance/03_Regulatory_Crosswalk.html</t>
        </is>
      </c>
    </row>
    <row r="195">
      <c r="A195" s="6" t="inlineStr">
        <is>
          <t>Hong Kong (incl. HKMA)</t>
        </is>
      </c>
      <c r="B195" s="6" t="inlineStr">
        <is>
          <t>Risk-commensurate management: materiality and</t>
        </is>
      </c>
      <c r="C195" s="6" t="inlineStr">
        <is>
          <t>Risk-commensurate management: materiality and risk assessment sets the review depth; senior sign-off, independent validation and adversarial testing for material cases; end-to-end testing; tailored monitoring; fallback, recovery and a kill switch or equivalent; auditable records and outcome tracing</t>
        </is>
      </c>
      <c r="D195" s="6" t="inlineStr"/>
      <c r="E195" s="6" t="inlineStr"/>
      <c r="F195" s="6" t="inlineStr">
        <is>
          <t>AI-CTRL-008, AI-CTRL-009, AI-CTRL-011, AI-CTRL-025, AI-CTRL-033, AI-CTRL-034, AI-CTRL-037, AI-CTRL-038, AI-CTRL-040</t>
        </is>
      </c>
      <c r="G195" s="6" t="inlineStr">
        <is>
          <t>AI-R02, AI-R05, AI-R07, AI-R08, AI-R09, AI-R11, AI-R13, AI-R14, AI-R15, AI-R16, AI-R17, AI-R18, AI-R20, AI-R21, AI-R25, AI-R26, AI-R28, AI-R55</t>
        </is>
      </c>
      <c r="H195" s="6" t="inlineStr">
        <is>
          <t>Partial</t>
        </is>
      </c>
      <c r="I195" s="6" t="inlineStr"/>
      <c r="J195" s="6" t="inlineStr"/>
      <c r="K195" s="6" t="inlineStr">
        <is>
          <t>https://nachi065.github.io/AI-Security-Wiki/26_Hong_Kong_AI_Compliance/03_Regulatory_Crosswalk.html</t>
        </is>
      </c>
    </row>
    <row r="196">
      <c r="A196" s="102" t="inlineStr">
        <is>
          <t>Hong Kong (incl. HKMA)</t>
        </is>
      </c>
      <c r="B196" s="102" t="inlineStr">
        <is>
          <t>Risk management frameworks: data within appro</t>
        </is>
      </c>
      <c r="C196" s="102" t="inlineStr">
        <is>
          <t>Risk management frameworks: data within approved parameters and PDPO compliance, contracts that stop providers training on data without authorisation, masking; third-party due diligence, contracts, monitoring, concentration and exit; layered cyber controls against data poisoning and prompt injection</t>
        </is>
      </c>
      <c r="D196" s="102" t="inlineStr"/>
      <c r="E196" s="102" t="inlineStr"/>
      <c r="F196" s="102" t="inlineStr">
        <is>
          <t>AI-CTRL-005, AI-CTRL-013, AI-CTRL-014, AI-CTRL-017, AI-CTRL-029, AI-CTRL-031</t>
        </is>
      </c>
      <c r="G196" s="102" t="inlineStr">
        <is>
          <t>AI-R01, AI-R03, AI-R05, AI-R06, AI-R08, AI-R10, AI-R16, AI-R17, AI-R23, AI-R24, AI-R27, AI-R28</t>
        </is>
      </c>
      <c r="H196" s="102" t="inlineStr">
        <is>
          <t>Direct</t>
        </is>
      </c>
      <c r="I196" s="102" t="inlineStr"/>
      <c r="J196" s="102" t="inlineStr"/>
      <c r="K196" s="102" t="inlineStr">
        <is>
          <t>https://nachi065.github.io/AI-Security-Wiki/26_Hong_Kong_AI_Compliance/03_Regulatory_Crosswalk.html</t>
        </is>
      </c>
    </row>
    <row r="197">
      <c r="A197" s="6" t="inlineStr">
        <is>
          <t>Hong Kong (incl. HKMA)</t>
        </is>
      </c>
      <c r="B197" s="6" t="inlineStr">
        <is>
          <t>Resources and expertise: adequate resources a</t>
        </is>
      </c>
      <c r="C197" s="6" t="inlineStr">
        <is>
          <t>Resources and expertise: adequate resources and capacity; organisation-wide awareness; role-specific training</t>
        </is>
      </c>
      <c r="D197" s="6" t="inlineStr"/>
      <c r="E197" s="6" t="inlineStr"/>
      <c r="F197" s="6" t="inlineStr">
        <is>
          <t>AI-CTRL-044</t>
        </is>
      </c>
      <c r="G197" s="6" t="inlineStr">
        <is>
          <t>AI-R02, AI-R19</t>
        </is>
      </c>
      <c r="H197" s="6" t="inlineStr">
        <is>
          <t>Direct</t>
        </is>
      </c>
      <c r="I197" s="6" t="inlineStr"/>
      <c r="J197" s="6" t="inlineStr"/>
      <c r="K197" s="6" t="inlineStr">
        <is>
          <t>https://nachi065.github.io/AI-Security-Wiki/26_Hong_Kong_AI_Compliance/03_Regulatory_Crosswalk.html</t>
        </is>
      </c>
    </row>
    <row r="198">
      <c r="A198" s="102" t="inlineStr">
        <is>
          <t>Hong Kong (incl. HKMA)</t>
        </is>
      </c>
      <c r="B198" s="102" t="inlineStr">
        <is>
          <t xml:space="preserve">Accountability for outputs: controls against </t>
        </is>
      </c>
      <c r="C198" s="102" t="inlineStr">
        <is>
          <t>Accountability for outputs: controls against hallucination; stronger review where customers could be materially affected; rules for withholding, referring or blocking outputs</t>
        </is>
      </c>
      <c r="D198" s="102" t="inlineStr"/>
      <c r="E198" s="102" t="inlineStr"/>
      <c r="F198" s="102" t="inlineStr">
        <is>
          <t>AI-CTRL-020, AI-CTRL-023, AI-CTRL-039</t>
        </is>
      </c>
      <c r="G198" s="102" t="inlineStr">
        <is>
          <t>AI-R05, AI-R06, AI-R07, AI-R12, AI-R14, AI-R19, AI-R20, AI-R24, AI-R26</t>
        </is>
      </c>
      <c r="H198" s="102" t="inlineStr">
        <is>
          <t>Direct</t>
        </is>
      </c>
      <c r="I198" s="102" t="inlineStr"/>
      <c r="J198" s="102" t="inlineStr"/>
      <c r="K198" s="102" t="inlineStr">
        <is>
          <t>https://nachi065.github.io/AI-Security-Wiki/26_Hong_Kong_AI_Compliance/03_Regulatory_Crosswalk.html</t>
        </is>
      </c>
    </row>
    <row r="199">
      <c r="A199" s="6" t="inlineStr">
        <is>
          <t>Hong Kong (incl. HKMA)</t>
        </is>
      </c>
      <c r="B199" s="6" t="inlineStr">
        <is>
          <t>Explainability and transparency: document exp</t>
        </is>
      </c>
      <c r="C199" s="6" t="inlineStr">
        <is>
          <t>Explainability and transparency: document explainability and its limits; inform stakeholders of purpose, functions, limits and the basis of material outcomes; prefer more explainable arrangements</t>
        </is>
      </c>
      <c r="D199" s="6" t="inlineStr"/>
      <c r="E199" s="6" t="inlineStr"/>
      <c r="F199" s="6" t="inlineStr">
        <is>
          <t>AI-CTRL-041</t>
        </is>
      </c>
      <c r="G199" s="6" t="inlineStr">
        <is>
          <t>AI-R12, AI-R14, AI-R15</t>
        </is>
      </c>
      <c r="H199" s="6" t="inlineStr">
        <is>
          <t>Direct</t>
        </is>
      </c>
      <c r="I199" s="6" t="inlineStr"/>
      <c r="J199" s="6" t="inlineStr"/>
      <c r="K199" s="6" t="inlineStr">
        <is>
          <t>https://nachi065.github.io/AI-Security-Wiki/26_Hong_Kong_AI_Compliance/03_Regulatory_Crosswalk.html</t>
        </is>
      </c>
    </row>
    <row r="200">
      <c r="A200" s="102" t="inlineStr">
        <is>
          <t>Hong Kong (incl. HKMA)</t>
        </is>
      </c>
      <c r="B200" s="102" t="inlineStr">
        <is>
          <t>Ethical use and fair treatment: no unfair bia</t>
        </is>
      </c>
      <c r="C200" s="102" t="inlineStr">
        <is>
          <t>Ethical use and fair treatment: no unfair bias; monitoring and sampling of customer-affecting outputs; clarification, review and redress; tell consumers about AI use and its risks before service; existing disclosure and opt-out expectations continue</t>
        </is>
      </c>
      <c r="D200" s="102" t="inlineStr"/>
      <c r="E200" s="102" t="inlineStr"/>
      <c r="F200" s="102" t="inlineStr">
        <is>
          <t>AI-CTRL-013, AI-CTRL-041</t>
        </is>
      </c>
      <c r="G200" s="102" t="inlineStr">
        <is>
          <t>AI-R03, AI-R10, AI-R12, AI-R14, AI-R15, AI-R27, AI-R28</t>
        </is>
      </c>
      <c r="H200" s="102" t="inlineStr">
        <is>
          <t>Direct</t>
        </is>
      </c>
      <c r="I200" s="102" t="inlineStr"/>
      <c r="J200" s="102" t="inlineStr"/>
      <c r="K200" s="102" t="inlineStr">
        <is>
          <t>https://nachi065.github.io/AI-Security-Wiki/26_Hong_Kong_AI_Compliance/03_Regulatory_Crosswalk.html</t>
        </is>
      </c>
    </row>
  </sheetData>
  <autoFilter ref="A4:K200"/>
  <pageMargins left="0.75" right="0.75" top="1" bottom="1" header="0.5" footer="0.5"/>
</worksheet>
</file>

<file path=xl/worksheets/sheet14.xml><?xml version="1.0" encoding="utf-8"?>
<worksheet xmlns="http://schemas.openxmlformats.org/spreadsheetml/2006/main">
  <sheetPr>
    <tabColor rgb="00833C0B"/>
    <outlinePr summaryBelow="1" summaryRight="1"/>
    <pageSetUpPr/>
  </sheetPr>
  <dimension ref="A1:H5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36" customWidth="1" min="2" max="2"/>
    <col width="12" customWidth="1" min="3" max="3"/>
    <col width="10" customWidth="1" min="4" max="4"/>
    <col width="50" customWidth="1" min="5" max="5"/>
    <col width="24" customWidth="1" min="6" max="6"/>
    <col width="40" customWidth="1" min="7" max="7"/>
    <col width="60" customWidth="1" min="8" max="8"/>
  </cols>
  <sheetData>
    <row r="1" ht="30" customHeight="1">
      <c r="A1" s="161" t="inlineStr">
        <is>
          <t>Control gap library (replaces the generic vulnerability list)</t>
        </is>
      </c>
      <c r="B1" s="162" t="n"/>
      <c r="C1" s="162" t="n"/>
      <c r="D1" s="162" t="n"/>
      <c r="E1" s="162" t="n"/>
      <c r="F1" s="162" t="n"/>
      <c r="G1" s="162" t="n"/>
      <c r="H1" s="162" t="n"/>
    </row>
    <row r="2">
      <c r="A2" s="3" t="inlineStr">
        <is>
          <t>Derived by this workbook: each weakness is "the wiki control is missing or not working". It is not a published vulnerability catalogue. Use it to fill "Existing Control Coverage" and the scenario.</t>
        </is>
      </c>
    </row>
    <row r="3"/>
    <row r="4">
      <c r="A4" s="163" t="inlineStr">
        <is>
          <t>Gap ID</t>
        </is>
      </c>
      <c r="B4" s="163" t="inlineStr">
        <is>
          <t>Weakness</t>
        </is>
      </c>
      <c r="C4" s="163" t="inlineStr">
        <is>
          <t>Control</t>
        </is>
      </c>
      <c r="D4" s="163" t="inlineStr">
        <is>
          <t>Tier</t>
        </is>
      </c>
      <c r="E4" s="163" t="inlineStr">
        <is>
          <t>What should be true (control objective)</t>
        </is>
      </c>
      <c r="F4" s="163" t="inlineStr">
        <is>
          <t>Risks it raises</t>
        </is>
      </c>
      <c r="G4" s="163" t="inlineStr">
        <is>
          <t>Evidence that shows the gap is closed</t>
        </is>
      </c>
      <c r="H4" s="163" t="inlineStr">
        <is>
          <t>How to test for the gap</t>
        </is>
      </c>
    </row>
    <row r="5" ht="75" customHeight="1">
      <c r="A5" s="6" t="inlineStr">
        <is>
          <t>GAP-001</t>
        </is>
      </c>
      <c r="B5" s="6" t="inlineStr">
        <is>
          <t>AI Discovery missing or ineffective</t>
        </is>
      </c>
      <c r="C5" s="6" t="inlineStr">
        <is>
          <t>AI-CTRL-001</t>
        </is>
      </c>
      <c r="D5" s="6" t="inlineStr">
        <is>
          <t>Baseline</t>
        </is>
      </c>
      <c r="E5" s="6" t="inlineStr">
        <is>
          <t>Identify approved/unapproved AI platforms across browsers, endpoints, IDEs, SaaS, APIs and custom apps.</t>
        </is>
      </c>
      <c r="F5" s="6" t="inlineStr">
        <is>
          <t>AI-R02</t>
        </is>
      </c>
      <c r="G5" s="6" t="inlineStr">
        <is>
          <t>AI service inventory; usage dashboard; user and device reports; classification of each service.</t>
        </is>
      </c>
      <c r="H5" s="6" t="inlineStr">
        <is>
          <t>Seed a known set of approved and unapproved AI tools in a test group and compare the discovered inventory with ground truth. Confirm new tools appear within the stated interval.</t>
        </is>
      </c>
    </row>
    <row r="6" ht="75" customHeight="1">
      <c r="A6" s="164" t="inlineStr">
        <is>
          <t>GAP-002</t>
        </is>
      </c>
      <c r="B6" s="164" t="inlineStr">
        <is>
          <t>Prompt Inspection missing or ineffective</t>
        </is>
      </c>
      <c r="C6" s="164" t="inlineStr">
        <is>
          <t>AI-CTRL-002</t>
        </is>
      </c>
      <c r="D6" s="164" t="inlineStr">
        <is>
          <t>Baseline</t>
        </is>
      </c>
      <c r="E6" s="164" t="inlineStr">
        <is>
          <t>Detect sensitive, restricted or risky content submitted to AI platforms.</t>
        </is>
      </c>
      <c r="F6" s="164" t="inlineStr">
        <is>
          <t>AI-R01, AI-R03, AI-R27</t>
        </is>
      </c>
      <c r="G6" s="164" t="inlineStr">
        <is>
          <t>Prompt detection logs; policy outcomes; sampled test results by data type.</t>
        </is>
      </c>
      <c r="H6" s="164" t="inlineStr">
        <is>
          <t>Submit a labelled set of sensitive and benign prompts through each channel. Measure detection rate and false positives, and confirm each detection is logged with user, device and destination.</t>
        </is>
      </c>
    </row>
    <row r="7" ht="75" customHeight="1">
      <c r="A7" s="6" t="inlineStr">
        <is>
          <t>GAP-003</t>
        </is>
      </c>
      <c r="B7" s="6" t="inlineStr">
        <is>
          <t>File Upload Protection missing or ineffective</t>
        </is>
      </c>
      <c r="C7" s="6" t="inlineStr">
        <is>
          <t>AI-CTRL-003</t>
        </is>
      </c>
      <c r="D7" s="6" t="inlineStr">
        <is>
          <t>Advanced</t>
        </is>
      </c>
      <c r="E7" s="6" t="inlineStr">
        <is>
          <t>Prevent uploads of confidential or restricted files to unauthorized AI services.</t>
        </is>
      </c>
      <c r="F7" s="6" t="inlineStr">
        <is>
          <t>AI-R01, AI-R03, AI-R27</t>
        </is>
      </c>
      <c r="G7" s="6" t="inlineStr">
        <is>
          <t>Upload block and warn logs; classification policy; file type coverage matrix.</t>
        </is>
      </c>
      <c r="H7" s="6" t="inlineStr">
        <is>
          <t>Upload labelled test files of each supported type to approved and unapproved services. Confirm the expected action and log entry for each.</t>
        </is>
      </c>
    </row>
    <row r="8" ht="75" customHeight="1">
      <c r="A8" s="164" t="inlineStr">
        <is>
          <t>GAP-004</t>
        </is>
      </c>
      <c r="B8" s="164" t="inlineStr">
        <is>
          <t>IDE AI Governance missing or ineffective</t>
        </is>
      </c>
      <c r="C8" s="164" t="inlineStr">
        <is>
          <t>AI-CTRL-004</t>
        </is>
      </c>
      <c r="D8" s="164" t="inlineStr">
        <is>
          <t>Advanced</t>
        </is>
      </c>
      <c r="E8" s="164" t="inlineStr">
        <is>
          <t>Monitor and control AI coding assistants, source code sharing and secret leakage.</t>
        </is>
      </c>
      <c r="F8" s="164" t="inlineStr">
        <is>
          <t>AI-R04, AI-R22</t>
        </is>
      </c>
      <c r="G8" s="164" t="inlineStr">
        <is>
          <t>IDE assistant inventory; secret and source code detection events; repository policy; developer rules.</t>
        </is>
      </c>
      <c r="H8" s="164" t="inlineStr">
        <is>
          <t>Send seeded secrets and marked source code through each approved assistant. Confirm detection, policy action and attribution. Confirm an unapproved extension is discovered.</t>
        </is>
      </c>
    </row>
    <row r="9" ht="75" customHeight="1">
      <c r="A9" s="6" t="inlineStr">
        <is>
          <t>GAP-005</t>
        </is>
      </c>
      <c r="B9" s="6" t="inlineStr">
        <is>
          <t>Runtime AI Security missing or ineffective</t>
        </is>
      </c>
      <c r="C9" s="6" t="inlineStr">
        <is>
          <t>AI-CTRL-005</t>
        </is>
      </c>
      <c r="D9" s="6" t="inlineStr">
        <is>
          <t>Baseline</t>
        </is>
      </c>
      <c r="E9" s="6" t="inlineStr">
        <is>
          <t>Protect custom AI applications from prompt injection, misuse and output leakage.</t>
        </is>
      </c>
      <c r="F9" s="6" t="inlineStr">
        <is>
          <t>AI-R05, AI-R06, AI-R24</t>
        </is>
      </c>
      <c r="G9" s="6" t="inlineStr">
        <is>
          <t>Prompt injection test reports; runtime logs; guardrail configuration; bypass test results.</t>
        </is>
      </c>
      <c r="H9" s="6" t="inlineStr">
        <is>
          <t>Run the prompt injection and jailbreak cases with the control disabled and then enabled. Record attack success rate in both states against the agreed threshold.</t>
        </is>
      </c>
    </row>
    <row r="10" ht="75" customHeight="1">
      <c r="A10" s="164" t="inlineStr">
        <is>
          <t>GAP-006</t>
        </is>
      </c>
      <c r="B10" s="164" t="inlineStr">
        <is>
          <t>Agent Governance missing or ineffective</t>
        </is>
      </c>
      <c r="C10" s="164" t="inlineStr">
        <is>
          <t>AI-CTRL-006</t>
        </is>
      </c>
      <c r="D10" s="164" t="inlineStr">
        <is>
          <t>Baseline</t>
        </is>
      </c>
      <c r="E10" s="164" t="inlineStr">
        <is>
          <t>Monitor AI agents, tool calls, API access and autonomous actions.</t>
        </is>
      </c>
      <c r="F10" s="164" t="inlineStr">
        <is>
          <t>AI-R07, AI-R25</t>
        </is>
      </c>
      <c r="G10" s="164" t="inlineStr">
        <is>
          <t>Agent registry; tool access logs; delegation maps; shadow agent reports.</t>
        </is>
      </c>
      <c r="H10" s="164" t="inlineStr">
        <is>
          <t>Deploy registered and unregistered test agents. Confirm the unregistered agents are detected, and that owner, tools and data scope are correct for the registered ones.</t>
        </is>
      </c>
    </row>
    <row r="11" ht="75" customHeight="1">
      <c r="A11" s="6" t="inlineStr">
        <is>
          <t>GAP-007</t>
        </is>
      </c>
      <c r="B11" s="6" t="inlineStr">
        <is>
          <t>Data Sovereignty missing or ineffective</t>
        </is>
      </c>
      <c r="C11" s="6" t="inlineStr">
        <is>
          <t>AI-CTRL-007</t>
        </is>
      </c>
      <c r="D11" s="6" t="inlineStr">
        <is>
          <t>Advanced</t>
        </is>
      </c>
      <c r="E11" s="6" t="inlineStr">
        <is>
          <t>Ensure prompts, logs and uploads are processed and retained in approved locations.</t>
        </is>
      </c>
      <c r="F11" s="6" t="inlineStr">
        <is>
          <t>AI-R10</t>
        </is>
      </c>
      <c r="G11" s="6" t="inlineStr">
        <is>
          <t>Residency attestation; retention configuration; training exclusion terms; administrative access logs.</t>
        </is>
      </c>
      <c r="H11" s="6" t="inlineStr">
        <is>
          <t>Trace a test prompt and upload end to end and verify processing and storage locations against the approved list. Verify retention settings by checking that expired records are gone.</t>
        </is>
      </c>
    </row>
    <row r="12" ht="75" customHeight="1">
      <c r="A12" s="164" t="inlineStr">
        <is>
          <t>GAP-008</t>
        </is>
      </c>
      <c r="B12" s="164" t="inlineStr">
        <is>
          <t>Auditability missing or ineffective</t>
        </is>
      </c>
      <c r="C12" s="164" t="inlineStr">
        <is>
          <t>AI-CTRL-008</t>
        </is>
      </c>
      <c r="D12" s="164" t="inlineStr">
        <is>
          <t>Baseline</t>
        </is>
      </c>
      <c r="E12" s="164" t="inlineStr">
        <is>
          <t>Maintain logs for prompts, responses, files, users, devices, applications and actions.</t>
        </is>
      </c>
      <c r="F12" s="164" t="inlineStr">
        <is>
          <t>AI-R09, AI-R15, AI-R26</t>
        </is>
      </c>
      <c r="G12" s="164" t="inlineStr">
        <is>
          <t>Exportable audit records; log schema; retention policy; sample reconstruction.</t>
        </is>
      </c>
      <c r="H12" s="164" t="inlineStr">
        <is>
          <t>Pick a completed test interaction and reconstruct it from logs alone: who, what was sent, what was retrieved, what the model returned and what action followed.</t>
        </is>
      </c>
    </row>
    <row r="13" ht="75" customHeight="1">
      <c r="A13" s="6" t="inlineStr">
        <is>
          <t>GAP-009</t>
        </is>
      </c>
      <c r="B13" s="6" t="inlineStr">
        <is>
          <t>SOC Integration missing or ineffective</t>
        </is>
      </c>
      <c r="C13" s="6" t="inlineStr">
        <is>
          <t>AI-CTRL-009</t>
        </is>
      </c>
      <c r="D13" s="6" t="inlineStr">
        <is>
          <t>Advanced</t>
        </is>
      </c>
      <c r="E13" s="6" t="inlineStr">
        <is>
          <t>Forward AI security events and logs to monitoring and response platforms.</t>
        </is>
      </c>
      <c r="F13" s="6" t="inlineStr">
        <is>
          <t>AI-R09</t>
        </is>
      </c>
      <c r="G13" s="6" t="inlineStr">
        <is>
          <t>SIEM event IDs; parser mapping; detection rules; runbooks; alert samples.</t>
        </is>
      </c>
      <c r="H13" s="6" t="inlineStr">
        <is>
          <t>Trigger each AI event type in the lab and confirm it arrives in the SIEM within the stated time, parses correctly and raises the expected alert.</t>
        </is>
      </c>
    </row>
    <row r="14" ht="75" customHeight="1">
      <c r="A14" s="164" t="inlineStr">
        <is>
          <t>GAP-010</t>
        </is>
      </c>
      <c r="B14" s="164" t="inlineStr">
        <is>
          <t>Policy Enforcement missing or ineffective</t>
        </is>
      </c>
      <c r="C14" s="164" t="inlineStr">
        <is>
          <t>AI-CTRL-010</t>
        </is>
      </c>
      <c r="D14" s="164" t="inlineStr">
        <is>
          <t>Advanced</t>
        </is>
      </c>
      <c r="E14" s="164" t="inlineStr">
        <is>
          <t>Support monitor, warn, redact, block and allow policies based on risk and classification.</t>
        </is>
      </c>
      <c r="F14" s="164" t="inlineStr">
        <is>
          <t>AI-R01, AI-R02, AI-R03</t>
        </is>
      </c>
      <c r="G14" s="164" t="inlineStr">
        <is>
          <t>Policy configuration; action logs by type; exception register; bypass test results.</t>
        </is>
      </c>
      <c r="H14" s="164" t="inlineStr">
        <is>
          <t>For each policy action, run a matching test and confirm the action and log entry. Attempt documented bypass methods and record the result.</t>
        </is>
      </c>
    </row>
    <row r="15" ht="75" customHeight="1">
      <c r="A15" s="6" t="inlineStr">
        <is>
          <t>GAP-011</t>
        </is>
      </c>
      <c r="B15" s="6" t="inlineStr">
        <is>
          <t>AI Use-Case Registry and Risk Tiering missing or ineffective</t>
        </is>
      </c>
      <c r="C15" s="6" t="inlineStr">
        <is>
          <t>AI-CTRL-011</t>
        </is>
      </c>
      <c r="D15" s="6" t="inlineStr">
        <is>
          <t>Baseline</t>
        </is>
      </c>
      <c r="E15" s="6" t="inlineStr">
        <is>
          <t>Record every AI use case with a business owner and a risk tier that decides which controls apply.</t>
        </is>
      </c>
      <c r="F15" s="6" t="inlineStr">
        <is>
          <t>AI-R02, AI-R18</t>
        </is>
      </c>
      <c r="G15" s="6" t="inlineStr">
        <is>
          <t>Use-case registry; intake and approval records; tiering criteria; re-tiering history; rule that restricts unlisted AI and records of its enforcement.</t>
        </is>
      </c>
      <c r="H15" s="6" t="inlineStr">
        <is>
          <t>Sample use cases in production and confirm each has a registry entry, an owner and a tier consistent with the criteria. Sample registry entries and confirm they match what is deployed.</t>
        </is>
      </c>
    </row>
    <row r="16" ht="75" customHeight="1">
      <c r="A16" s="164" t="inlineStr">
        <is>
          <t>GAP-012</t>
        </is>
      </c>
      <c r="B16" s="164" t="inlineStr">
        <is>
          <t>AI Policy, Roles and Acceptable Use missing or ineffective</t>
        </is>
      </c>
      <c r="C16" s="164" t="inlineStr">
        <is>
          <t>AI-CTRL-012</t>
        </is>
      </c>
      <c r="D16" s="164" t="inlineStr">
        <is>
          <t>Baseline</t>
        </is>
      </c>
      <c r="E16" s="164" t="inlineStr">
        <is>
          <t>Set and communicate the rules and responsibilities for using and building AI, and map each rule to a control.</t>
        </is>
      </c>
      <c r="F16" s="164" t="inlineStr">
        <is>
          <t>AI-R02, AI-R03, AI-R18, AI-R19, AI-R27, AI-R28</t>
        </is>
      </c>
      <c r="G16" s="164" t="inlineStr">
        <is>
          <t>Approved policy; board-approved AI strategy and risk appetite with its review record; roles and responsibilities record; governance decision log; policy-to-control mapping; training and acknowledgement records; policy alignment record; employment and contractor terms covering AI use.</t>
        </is>
      </c>
      <c r="H16" s="164" t="inlineStr">
        <is>
          <t>Select policy statements and trace each to a control and to evidence that it operates. Confirm the policy was reviewed within its cycle.</t>
        </is>
      </c>
    </row>
    <row r="17" ht="75" customHeight="1">
      <c r="A17" s="6" t="inlineStr">
        <is>
          <t>GAP-013</t>
        </is>
      </c>
      <c r="B17" s="6" t="inlineStr">
        <is>
          <t>Privacy and Regulatory Compliance missing or ineffective</t>
        </is>
      </c>
      <c r="C17" s="6" t="inlineStr">
        <is>
          <t>AI-CTRL-013</t>
        </is>
      </c>
      <c r="D17" s="6" t="inlineStr">
        <is>
          <t>Baseline</t>
        </is>
      </c>
      <c r="E17" s="6" t="inlineStr">
        <is>
          <t>Meet privacy and regulatory obligations for personal data handled by AI systems.</t>
        </is>
      </c>
      <c r="F17" s="6" t="inlineStr">
        <is>
          <t>AI-R03, AI-R10, AI-R27, AI-R28</t>
        </is>
      </c>
      <c r="G17" s="6" t="inlineStr">
        <is>
          <t>Impact assessments; records of processing; data subject request tests; evidence exports.</t>
        </is>
      </c>
      <c r="H17" s="6" t="inlineStr">
        <is>
          <t>Run a data subject access and deletion request against a test identity and confirm the data is found and removed across prompts, logs, indexes and memory.</t>
        </is>
      </c>
    </row>
    <row r="18" ht="75" customHeight="1">
      <c r="A18" s="164" t="inlineStr">
        <is>
          <t>GAP-014</t>
        </is>
      </c>
      <c r="B18" s="164" t="inlineStr">
        <is>
          <t>Third-Party and Vendor AI Assurance missing or ineffective</t>
        </is>
      </c>
      <c r="C18" s="164" t="inlineStr">
        <is>
          <t>AI-CTRL-014</t>
        </is>
      </c>
      <c r="D18" s="164" t="inlineStr">
        <is>
          <t>Baseline</t>
        </is>
      </c>
      <c r="E18" s="164" t="inlineStr">
        <is>
          <t>Assess AI vendors and embedded AI features before use, and reassess when they change.</t>
        </is>
      </c>
      <c r="F18" s="164" t="inlineStr">
        <is>
          <t>AI-R08, AI-R10, AI-R16</t>
        </is>
      </c>
      <c r="G18" s="164" t="inlineStr">
        <is>
          <t>Vendor assessments; contract clauses; sub-processor list; model change notices; exit return or deletion confirmation.</t>
        </is>
      </c>
      <c r="H18" s="164" t="inlineStr">
        <is>
          <t>Sample AI vendors in use and confirm each has a current assessment and the required contract terms. Confirm the last model or terms change triggered a review.</t>
        </is>
      </c>
    </row>
    <row r="19" ht="75" customHeight="1">
      <c r="A19" s="6" t="inlineStr">
        <is>
          <t>GAP-015</t>
        </is>
      </c>
      <c r="B19" s="6" t="inlineStr">
        <is>
          <t>Human and Agent Identity missing or ineffective</t>
        </is>
      </c>
      <c r="C19" s="6" t="inlineStr">
        <is>
          <t>AI-CTRL-015</t>
        </is>
      </c>
      <c r="D19" s="6" t="inlineStr">
        <is>
          <t>Baseline</t>
        </is>
      </c>
      <c r="E19" s="6" t="inlineStr">
        <is>
          <t>Give every user, application and agent that uses AI a unique, attributable identity.</t>
        </is>
      </c>
      <c r="F19" s="6" t="inlineStr">
        <is>
          <t>AI-R07, AI-R22, AI-R25</t>
        </is>
      </c>
      <c r="G19" s="6" t="inlineStr">
        <is>
          <t>Identity registry; sponsor records; recertification results; orphaned identity report.</t>
        </is>
      </c>
      <c r="H19" s="6" t="inlineStr">
        <is>
          <t>Sample agent identities and confirm each has a sponsor and a current recertification. Remove a test sponsor and confirm the agent identity is flagged.</t>
        </is>
      </c>
    </row>
    <row r="20" ht="75" customHeight="1">
      <c r="A20" s="164" t="inlineStr">
        <is>
          <t>GAP-016</t>
        </is>
      </c>
      <c r="B20" s="164" t="inlineStr">
        <is>
          <t>Least Privilege and Scoped Credentials missing or ineffective</t>
        </is>
      </c>
      <c r="C20" s="164" t="inlineStr">
        <is>
          <t>AI-CTRL-016</t>
        </is>
      </c>
      <c r="D20" s="164" t="inlineStr">
        <is>
          <t>Baseline</t>
        </is>
      </c>
      <c r="E20" s="164" t="inlineStr">
        <is>
          <t>Limit what each AI workload and agent can reach to the minimum its task needs.</t>
        </is>
      </c>
      <c r="F20" s="164" t="inlineStr">
        <is>
          <t>AI-R06, AI-R07, AI-R08, AI-R22</t>
        </is>
      </c>
      <c r="G20" s="164" t="inlineStr">
        <is>
          <t>Permission maps; token scope configuration; access review records; drift reports.</t>
        </is>
      </c>
      <c r="H20" s="164" t="inlineStr">
        <is>
          <t>Have a test agent attempt a tool or resource outside its scope and confirm it is denied and logged. Confirm credentials expire as configured.</t>
        </is>
      </c>
    </row>
    <row r="21" ht="75" customHeight="1">
      <c r="A21" s="6" t="inlineStr">
        <is>
          <t>GAP-017</t>
        </is>
      </c>
      <c r="B21" s="6" t="inlineStr">
        <is>
          <t>Data Protection in AI Pipelines missing or ineffective</t>
        </is>
      </c>
      <c r="C21" s="6" t="inlineStr">
        <is>
          <t>AI-CTRL-017</t>
        </is>
      </c>
      <c r="D21" s="6" t="inlineStr">
        <is>
          <t>Baseline</t>
        </is>
      </c>
      <c r="E21" s="6" t="inlineStr">
        <is>
          <t>Apply classification, minimization and isolation to data that AI systems ingest, process and produce.</t>
        </is>
      </c>
      <c r="F21" s="6" t="inlineStr">
        <is>
          <t>AI-R01, AI-R03, AI-R06, AI-R17</t>
        </is>
      </c>
      <c r="G21" s="6" t="inlineStr">
        <is>
          <t>Data flow diagrams; classification and masking rules; tenant isolation tests; lineage records.</t>
        </is>
      </c>
      <c r="H21" s="6" t="inlineStr">
        <is>
          <t>Send labelled sensitive records through the pipeline and confirm masking at each stage. Attempt to read another tenant's data through the AI interface.</t>
        </is>
      </c>
    </row>
    <row r="22" ht="75" customHeight="1">
      <c r="A22" s="164" t="inlineStr">
        <is>
          <t>GAP-018</t>
        </is>
      </c>
      <c r="B22" s="164" t="inlineStr">
        <is>
          <t>Retrieval Access Control missing or ineffective</t>
        </is>
      </c>
      <c r="C22" s="164" t="inlineStr">
        <is>
          <t>AI-CTRL-018</t>
        </is>
      </c>
      <c r="D22" s="164" t="inlineStr">
        <is>
          <t>Baseline</t>
        </is>
      </c>
      <c r="E22" s="164" t="inlineStr">
        <is>
          <t>Return only content the requesting user is entitled to see.</t>
        </is>
      </c>
      <c r="F22" s="164" t="inlineStr">
        <is>
          <t>AI-R06</t>
        </is>
      </c>
      <c r="G22" s="164" t="inlineStr">
        <is>
          <t>Permission test results; retrieval logs with source documents; propagation timing.</t>
        </is>
      </c>
      <c r="H22" s="164" t="inlineStr">
        <is>
          <t>Query as users with different entitlements and confirm restricted documents are never retrieved. Revoke access to a document and measure how long it remains retrievable.</t>
        </is>
      </c>
    </row>
    <row r="23" ht="75" customHeight="1">
      <c r="A23" s="6" t="inlineStr">
        <is>
          <t>GAP-019</t>
        </is>
      </c>
      <c r="B23" s="6" t="inlineStr">
        <is>
          <t>Knowledge Base Integrity missing or ineffective</t>
        </is>
      </c>
      <c r="C23" s="6" t="inlineStr">
        <is>
          <t>AI-CTRL-019</t>
        </is>
      </c>
      <c r="D23" s="6" t="inlineStr">
        <is>
          <t>Advanced</t>
        </is>
      </c>
      <c r="E23" s="6" t="inlineStr">
        <is>
          <t>Stop untrusted or poisoned content from entering the corpus that AI systems retrieve from.</t>
        </is>
      </c>
      <c r="F23" s="6" t="inlineStr">
        <is>
          <t>AI-R05, AI-R08, AI-R17</t>
        </is>
      </c>
      <c r="G23" s="6" t="inlineStr">
        <is>
          <t>Ingestion access list; provenance records; ingestion scan results; removal test.</t>
        </is>
      </c>
      <c r="H23" s="6" t="inlineStr">
        <is>
          <t>Add a document with a planted instruction and a false fact through each ingestion path. Confirm it is detected or neutralized, and that it can be traced and removed.</t>
        </is>
      </c>
    </row>
    <row r="24" ht="75" customHeight="1">
      <c r="A24" s="164" t="inlineStr">
        <is>
          <t>GAP-020</t>
        </is>
      </c>
      <c r="B24" s="164" t="inlineStr">
        <is>
          <t>Output Handling missing or ineffective</t>
        </is>
      </c>
      <c r="C24" s="164" t="inlineStr">
        <is>
          <t>AI-CTRL-020</t>
        </is>
      </c>
      <c r="D24" s="164" t="inlineStr">
        <is>
          <t>Baseline</t>
        </is>
      </c>
      <c r="E24" s="164" t="inlineStr">
        <is>
          <t>Treat model output as untrusted input to whatever consumes it.</t>
        </is>
      </c>
      <c r="F24" s="164" t="inlineStr">
        <is>
          <t>AI-R05, AI-R06, AI-R24, AI-R26</t>
        </is>
      </c>
      <c r="G24" s="164" t="inlineStr">
        <is>
          <t>Output validation rules; response inspection logs; injection test results.</t>
        </is>
      </c>
      <c r="H24" s="164" t="inlineStr">
        <is>
          <t>Induce the model to emit script, markup and command payloads and confirm none executes downstream. Confirm sensitive data in a response is detected.</t>
        </is>
      </c>
    </row>
    <row r="25" ht="75" customHeight="1">
      <c r="A25" s="6" t="inlineStr">
        <is>
          <t>GAP-021</t>
        </is>
      </c>
      <c r="B25" s="6" t="inlineStr">
        <is>
          <t>Multimodal and Voice Input Security missing or ineffective</t>
        </is>
      </c>
      <c r="C25" s="6" t="inlineStr">
        <is>
          <t>AI-CTRL-021</t>
        </is>
      </c>
      <c r="D25" s="6" t="inlineStr">
        <is>
          <t>Advanced</t>
        </is>
      </c>
      <c r="E25" s="6" t="inlineStr">
        <is>
          <t>Apply the same inspection and policy to images, documents, audio and video as to text.</t>
        </is>
      </c>
      <c r="F25" s="6" t="inlineStr">
        <is>
          <t>AI-R03, AI-R05</t>
        </is>
      </c>
      <c r="G25" s="6" t="inlineStr">
        <is>
          <t>Modality coverage matrix; detection results by modality; recording retention configuration.</t>
        </is>
      </c>
      <c r="H25" s="6" t="inlineStr">
        <is>
          <t>Submit images, documents and audio carrying sensitive data and hidden instructions. Compare detection with the text-channel result for the same content.</t>
        </is>
      </c>
    </row>
    <row r="26" ht="75" customHeight="1">
      <c r="A26" s="164" t="inlineStr">
        <is>
          <t>GAP-022</t>
        </is>
      </c>
      <c r="B26" s="164" t="inlineStr">
        <is>
          <t>Deterministic Action Authorization missing or ineffective</t>
        </is>
      </c>
      <c r="C26" s="164" t="inlineStr">
        <is>
          <t>AI-CTRL-022</t>
        </is>
      </c>
      <c r="D26" s="164" t="inlineStr">
        <is>
          <t>Baseline</t>
        </is>
      </c>
      <c r="E26" s="164" t="inlineStr">
        <is>
          <t>Enforce authority to act, access data or spend money outside the model.</t>
        </is>
      </c>
      <c r="F26" s="164" t="inlineStr">
        <is>
          <t>AI-R07, AI-R24</t>
        </is>
      </c>
      <c r="G26" s="164" t="inlineStr">
        <is>
          <t>Policy rules; allow and deny logs; architecture review record.</t>
        </is>
      </c>
      <c r="H26" s="164" t="inlineStr">
        <is>
          <t>Instruct a test agent, through injected content, to make a call the policy forbids. Confirm the enforcement point denies it regardless of what the model outputs.</t>
        </is>
      </c>
    </row>
    <row r="27" ht="75" customHeight="1">
      <c r="A27" s="6" t="inlineStr">
        <is>
          <t>GAP-023</t>
        </is>
      </c>
      <c r="B27" s="6" t="inlineStr">
        <is>
          <t>Human Approval for Sensitive Actions missing or ineffective</t>
        </is>
      </c>
      <c r="C27" s="6" t="inlineStr">
        <is>
          <t>AI-CTRL-023</t>
        </is>
      </c>
      <c r="D27" s="6" t="inlineStr">
        <is>
          <t>Baseline</t>
        </is>
      </c>
      <c r="E27" s="6" t="inlineStr">
        <is>
          <t>Require a person to approve irreversible or high-impact actions before they run.</t>
        </is>
      </c>
      <c r="F27" s="6" t="inlineStr">
        <is>
          <t>AI-R07, AI-R19</t>
        </is>
      </c>
      <c r="G27" s="6" t="inlineStr">
        <is>
          <t>List of gated actions; approval logs with parameters shown; rejection samples.</t>
        </is>
      </c>
      <c r="H27" s="6" t="inlineStr">
        <is>
          <t>Trigger a gated action and confirm it does not run without approval. Confirm the approver sees the real parameters and that the decision is logged.</t>
        </is>
      </c>
    </row>
    <row r="28" ht="75" customHeight="1">
      <c r="A28" s="164" t="inlineStr">
        <is>
          <t>GAP-024</t>
        </is>
      </c>
      <c r="B28" s="164" t="inlineStr">
        <is>
          <t>Tool and MCP Server Governance missing or ineffective</t>
        </is>
      </c>
      <c r="C28" s="164" t="inlineStr">
        <is>
          <t>AI-CTRL-024</t>
        </is>
      </c>
      <c r="D28" s="164" t="inlineStr">
        <is>
          <t>Baseline</t>
        </is>
      </c>
      <c r="E28" s="164" t="inlineStr">
        <is>
          <t>Allow agents to use only vetted tools and tool servers, and detect when they change.</t>
        </is>
      </c>
      <c r="F28" s="164" t="inlineStr">
        <is>
          <t>AI-R07, AI-R08, AI-R23, AI-R24</t>
        </is>
      </c>
      <c r="G28" s="164" t="inlineStr">
        <is>
          <t>Tool and MCP server registry; allow-list configuration; change detection alerts.</t>
        </is>
      </c>
      <c r="H28" s="164" t="inlineStr">
        <is>
          <t>Connect an unlisted tool server and confirm it is blocked. Change the description of an approved tool and confirm the change is detected before use.</t>
        </is>
      </c>
    </row>
    <row r="29" ht="75" customHeight="1">
      <c r="A29" s="6" t="inlineStr">
        <is>
          <t>GAP-025</t>
        </is>
      </c>
      <c r="B29" s="6" t="inlineStr">
        <is>
          <t>AI Containment and Kill Switch missing or ineffective</t>
        </is>
      </c>
      <c r="C29" s="6" t="inlineStr">
        <is>
          <t>AI-CTRL-025</t>
        </is>
      </c>
      <c r="D29" s="6" t="inlineStr">
        <is>
          <t>Baseline</t>
        </is>
      </c>
      <c r="E29" s="6" t="inlineStr">
        <is>
          <t>Stop an agent or suspend a high-risk AI model, revoke its access and limit the damage within minutes, with a tested fallback.</t>
        </is>
      </c>
      <c r="F29" s="6" t="inlineStr">
        <is>
          <t>AI-R07, AI-R11, AI-R21, AI-R25, AI-R55</t>
        </is>
      </c>
      <c r="G29" s="6" t="inlineStr">
        <is>
          <t>Kill switch procedure; register of kill switches for high-risk use cases with owners, triggers and fallbacks; test records with timings; task limits configuration.</t>
        </is>
      </c>
      <c r="H29" s="6" t="inlineStr">
        <is>
          <t>Start a long-running test agent and stop it. Measure the time until no further actions occur and credentials are invalid. Sample high-risk use cases and confirm each has a kill switch, a fallback and a test within the last year; suspend one model in the lab and confirm decisions route to the fallback.</t>
        </is>
      </c>
    </row>
    <row r="30" ht="75" customHeight="1">
      <c r="A30" s="164" t="inlineStr">
        <is>
          <t>GAP-026</t>
        </is>
      </c>
      <c r="B30" s="164" t="inlineStr">
        <is>
          <t>Agent Memory and Context Integrity missing or ineffective</t>
        </is>
      </c>
      <c r="C30" s="164" t="inlineStr">
        <is>
          <t>AI-CTRL-026</t>
        </is>
      </c>
      <c r="D30" s="164" t="inlineStr">
        <is>
          <t>Advanced</t>
        </is>
      </c>
      <c r="E30" s="164" t="inlineStr">
        <is>
          <t>Prevent poisoned or cross-user content from persisting in agent memory and context.</t>
        </is>
      </c>
      <c r="F30" s="164" t="inlineStr">
        <is>
          <t>AI-R05, AI-R07, AI-R21</t>
        </is>
      </c>
      <c r="G30" s="164" t="inlineStr">
        <is>
          <t>Memory isolation tests; memory provenance records; purge procedure and test; memory store inventory with owners; memory write policy and enforcement results; access and erasure request records that cover memory.</t>
        </is>
      </c>
      <c r="H30" s="164" t="inlineStr">
        <is>
          <t>Plant an instruction in memory through untrusted content and confirm it does not affect a later session. Confirm one user cannot read another's memory.</t>
        </is>
      </c>
    </row>
    <row r="31" ht="75" customHeight="1">
      <c r="A31" s="6" t="inlineStr">
        <is>
          <t>GAP-027</t>
        </is>
      </c>
      <c r="B31" s="6" t="inlineStr">
        <is>
          <t>Agent Execution Isolation missing or ineffective</t>
        </is>
      </c>
      <c r="C31" s="6" t="inlineStr">
        <is>
          <t>AI-CTRL-027</t>
        </is>
      </c>
      <c r="D31" s="6" t="inlineStr">
        <is>
          <t>Baseline</t>
        </is>
      </c>
      <c r="E31" s="6" t="inlineStr">
        <is>
          <t>Run agent-generated code and browser or computer-use sessions in isolation.</t>
        </is>
      </c>
      <c r="F31" s="6" t="inlineStr">
        <is>
          <t>AI-R07, AI-R21, AI-R22, AI-R25, AI-R55</t>
        </is>
      </c>
      <c r="G31" s="6" t="inlineStr">
        <is>
          <t>Sandbox configuration; egress rules; isolation test results.</t>
        </is>
      </c>
      <c r="H31" s="6" t="inlineStr">
        <is>
          <t>Have a test agent run code that tries to reach the network, read secrets and write outside its workspace. Confirm each attempt fails and is logged.</t>
        </is>
      </c>
    </row>
    <row r="32" ht="75" customHeight="1">
      <c r="A32" s="164" t="inlineStr">
        <is>
          <t>GAP-028</t>
        </is>
      </c>
      <c r="B32" s="164" t="inlineStr">
        <is>
          <t>Model Protection missing or ineffective</t>
        </is>
      </c>
      <c r="C32" s="164" t="inlineStr">
        <is>
          <t>AI-CTRL-028</t>
        </is>
      </c>
      <c r="D32" s="164" t="inlineStr">
        <is>
          <t>Advanced</t>
        </is>
      </c>
      <c r="E32" s="164" t="inlineStr">
        <is>
          <t>Protect models from theft, extraction and adversarial inputs.</t>
        </is>
      </c>
      <c r="F32" s="164" t="inlineStr">
        <is>
          <t>AI-R08</t>
        </is>
      </c>
      <c r="G32" s="164" t="inlineStr">
        <is>
          <t>Model access list; query monitoring rules; model scan reports; robustness test results.</t>
        </is>
      </c>
      <c r="H32" s="164" t="inlineStr">
        <is>
          <t>Run a scripted extraction pattern against a test endpoint and confirm it is detected and throttled. Attempt to read model weights with a non-privileged identity.</t>
        </is>
      </c>
    </row>
    <row r="33" ht="75" customHeight="1">
      <c r="A33" s="6" t="inlineStr">
        <is>
          <t>GAP-029</t>
        </is>
      </c>
      <c r="B33" s="6" t="inlineStr">
        <is>
          <t>Training and Fine-Tuning Data Integrity missing or ineffective</t>
        </is>
      </c>
      <c r="C33" s="6" t="inlineStr">
        <is>
          <t>AI-CTRL-029</t>
        </is>
      </c>
      <c r="D33" s="6" t="inlineStr">
        <is>
          <t>Advanced</t>
        </is>
      </c>
      <c r="E33" s="6" t="inlineStr">
        <is>
          <t>Know where training data came from and detect tampering before it shapes a model.</t>
        </is>
      </c>
      <c r="F33" s="6" t="inlineStr">
        <is>
          <t>AI-R08</t>
        </is>
      </c>
      <c r="G33" s="6" t="inlineStr">
        <is>
          <t>Dataset provenance records; integrity checks; screening results; model-to-data lineage; approved data quality profile and the measured results for each run.</t>
        </is>
      </c>
      <c r="H33" s="6" t="inlineStr">
        <is>
          <t>Alter a sample of a test dataset and confirm the integrity check fails the run. Trace a deployed model back to the exact dataset versions used.</t>
        </is>
      </c>
    </row>
    <row r="34" ht="75" customHeight="1">
      <c r="A34" s="164" t="inlineStr">
        <is>
          <t>GAP-030</t>
        </is>
      </c>
      <c r="B34" s="164" t="inlineStr">
        <is>
          <t>ML Pipeline and Model Registry Security missing or ineffective</t>
        </is>
      </c>
      <c r="C34" s="164" t="inlineStr">
        <is>
          <t>AI-CTRL-030</t>
        </is>
      </c>
      <c r="D34" s="164" t="inlineStr">
        <is>
          <t>Advanced</t>
        </is>
      </c>
      <c r="E34" s="164" t="inlineStr">
        <is>
          <t>Protect the pipeline that builds, stores and releases models and prompts.</t>
        </is>
      </c>
      <c r="F34" s="164" t="inlineStr">
        <is>
          <t>AI-R08</t>
        </is>
      </c>
      <c r="G34" s="164" t="inlineStr">
        <is>
          <t>Signing configuration; registry access list; release gate results; version history.</t>
        </is>
      </c>
      <c r="H34" s="164" t="inlineStr">
        <is>
          <t>Attempt to deploy an unsigned or altered artifact and confirm it is rejected. Confirm a failed security test blocks a release.</t>
        </is>
      </c>
    </row>
    <row r="35" ht="75" customHeight="1">
      <c r="A35" s="6" t="inlineStr">
        <is>
          <t>GAP-031</t>
        </is>
      </c>
      <c r="B35" s="6" t="inlineStr">
        <is>
          <t>AI Supply Chain and AI-BOM missing or ineffective</t>
        </is>
      </c>
      <c r="C35" s="6" t="inlineStr">
        <is>
          <t>AI-CTRL-031</t>
        </is>
      </c>
      <c r="D35" s="6" t="inlineStr">
        <is>
          <t>Advanced</t>
        </is>
      </c>
      <c r="E35" s="6" t="inlineStr">
        <is>
          <t>Know exactly which models, datasets, packages and prompts run in each environment.</t>
        </is>
      </c>
      <c r="F35" s="6" t="inlineStr">
        <is>
          <t>AI-R08, AI-R16, AI-R23</t>
        </is>
      </c>
      <c r="G35" s="6" t="inlineStr">
        <is>
          <t>AI-BOM; approved source list; scan reports; change-triggered test records.</t>
        </is>
      </c>
      <c r="H35" s="6" t="inlineStr">
        <is>
          <t>Compare the AI-BOM of a sampled system with what is deployed. Introduce a component from an unapproved source and confirm it is blocked or flagged.</t>
        </is>
      </c>
    </row>
    <row r="36" ht="75" customHeight="1">
      <c r="A36" s="164" t="inlineStr">
        <is>
          <t>GAP-032</t>
        </is>
      </c>
      <c r="B36" s="164" t="inlineStr">
        <is>
          <t>AI Infrastructure Hardening missing or ineffective</t>
        </is>
      </c>
      <c r="C36" s="164" t="inlineStr">
        <is>
          <t>AI-CTRL-032</t>
        </is>
      </c>
      <c r="D36" s="164" t="inlineStr">
        <is>
          <t>Advanced</t>
        </is>
      </c>
      <c r="E36" s="164" t="inlineStr">
        <is>
          <t>Harden and segment the infrastructure that trains and serves models.</t>
        </is>
      </c>
      <c r="F36" s="164" t="inlineStr">
        <is>
          <t>AI-R08, AI-R10</t>
        </is>
      </c>
      <c r="G36" s="164" t="inlineStr">
        <is>
          <t>Network segmentation rules; secrets management configuration; hardening baseline; isolation tests.</t>
        </is>
      </c>
      <c r="H36" s="164" t="inlineStr">
        <is>
          <t>Attempt to reach production data from the experimentation environment and to open unapproved egress from a model runtime. Confirm both fail.</t>
        </is>
      </c>
    </row>
    <row r="37" ht="75" customHeight="1">
      <c r="A37" s="6" t="inlineStr">
        <is>
          <t>GAP-033</t>
        </is>
      </c>
      <c r="B37" s="6" t="inlineStr">
        <is>
          <t>AI Security Review and Release Gate missing or ineffective</t>
        </is>
      </c>
      <c r="C37" s="6" t="inlineStr">
        <is>
          <t>AI-CTRL-033</t>
        </is>
      </c>
      <c r="D37" s="6" t="inlineStr">
        <is>
          <t>Baseline</t>
        </is>
      </c>
      <c r="E37" s="6" t="inlineStr">
        <is>
          <t>Review every AI system against its threats before production and after material change.</t>
        </is>
      </c>
      <c r="F37" s="6" t="inlineStr">
        <is>
          <t>AI-R05, AI-R07, AI-R08, AI-R14, AI-R16, AI-R55</t>
        </is>
      </c>
      <c r="G37" s="6" t="inlineStr">
        <is>
          <t>Threat models; architecture review records; control selection; approvals and exceptions; responsible development objectives.</t>
        </is>
      </c>
      <c r="H37" s="6" t="inlineStr">
        <is>
          <t>Sample production systems and confirm each has a current threat model, a control selection that matches its tier and a signed approval.</t>
        </is>
      </c>
    </row>
    <row r="38" ht="75" customHeight="1">
      <c r="A38" s="164" t="inlineStr">
        <is>
          <t>GAP-034</t>
        </is>
      </c>
      <c r="B38" s="164" t="inlineStr">
        <is>
          <t>Adversarial Testing and Continuous Evaluation missing or ineffective</t>
        </is>
      </c>
      <c r="C38" s="164" t="inlineStr">
        <is>
          <t>AI-CTRL-034</t>
        </is>
      </c>
      <c r="D38" s="164" t="inlineStr">
        <is>
          <t>Advanced</t>
        </is>
      </c>
      <c r="E38" s="164" t="inlineStr">
        <is>
          <t>Test AI systems against attacks before release and continuously afterwards.</t>
        </is>
      </c>
      <c r="F38" s="164" t="inlineStr">
        <is>
          <t>AI-R05, AI-R07, AI-R16, AI-R17, AI-R20</t>
        </is>
      </c>
      <c r="G38" s="164" t="inlineStr">
        <is>
          <t>Red team reports; regression suite results; agreed thresholds; retest records; threat intelligence review log; production test authorisations.</t>
        </is>
      </c>
      <c r="H38" s="164" t="inlineStr">
        <is>
          <t>Confirm the last model or prompt change triggered the regression suite. Reproduce a sample of reported findings and confirm fixes hold.</t>
        </is>
      </c>
    </row>
    <row r="39" ht="75" customHeight="1">
      <c r="A39" s="6" t="inlineStr">
        <is>
          <t>GAP-035</t>
        </is>
      </c>
      <c r="B39" s="6" t="inlineStr">
        <is>
          <t>AI Incident Response and Forensics missing or ineffective</t>
        </is>
      </c>
      <c r="C39" s="6" t="inlineStr">
        <is>
          <t>AI-CTRL-035</t>
        </is>
      </c>
      <c r="D39" s="6" t="inlineStr">
        <is>
          <t>Baseline</t>
        </is>
      </c>
      <c r="E39" s="6" t="inlineStr">
        <is>
          <t>Detect, contain, investigate and recover from AI security incidents.</t>
        </is>
      </c>
      <c r="F39" s="6" t="inlineStr">
        <is>
          <t>AI-R09, AI-R20</t>
        </is>
      </c>
      <c r="G39" s="6" t="inlineStr">
        <is>
          <t>Playbooks; exercise records; preserved-state checklist; provider contact and escalation path.</t>
        </is>
      </c>
      <c r="H39" s="6" t="inlineStr">
        <is>
          <t>Run a tabletop or lab exercise for a prompt injection incident. Confirm the interaction can be replayed, scoped and contained using the playbook.</t>
        </is>
      </c>
    </row>
    <row r="40" ht="75" customHeight="1">
      <c r="A40" s="164" t="inlineStr">
        <is>
          <t>GAP-036</t>
        </is>
      </c>
      <c r="B40" s="164" t="inlineStr">
        <is>
          <t>AI Cost and Abuse Controls missing or ineffective</t>
        </is>
      </c>
      <c r="C40" s="164" t="inlineStr">
        <is>
          <t>AI-CTRL-036</t>
        </is>
      </c>
      <c r="D40" s="164" t="inlineStr">
        <is>
          <t>Baseline</t>
        </is>
      </c>
      <c r="E40" s="164" t="inlineStr">
        <is>
          <t>Attribute AI spend and stop abuse that exhausts budget or capacity.</t>
        </is>
      </c>
      <c r="F40" s="164" t="inlineStr">
        <is>
          <t>AI-R11</t>
        </is>
      </c>
      <c r="G40" s="164" t="inlineStr">
        <is>
          <t>Cost attribution reports; budget and quota configuration; anomaly alerts; key revocation records.</t>
        </is>
      </c>
      <c r="H40" s="164" t="inlineStr">
        <is>
          <t>Drive a test key past its budget and confirm enforcement. Simulate a traffic spike on a public endpoint and confirm detection and throttling.</t>
        </is>
      </c>
    </row>
    <row r="41" ht="75" customHeight="1">
      <c r="A41" s="6" t="inlineStr">
        <is>
          <t>GAP-037</t>
        </is>
      </c>
      <c r="B41" s="6" t="inlineStr">
        <is>
          <t>AI Risk Assessment and Exception Management missing or ineffective</t>
        </is>
      </c>
      <c r="C41" s="6" t="inlineStr">
        <is>
          <t>AI-CTRL-037</t>
        </is>
      </c>
      <c r="D41" s="6" t="inlineStr">
        <is>
          <t>Advanced</t>
        </is>
      </c>
      <c r="E41" s="6" t="inlineStr">
        <is>
          <t>Assess, treat and accept AI risks consistently, and keep every exception owned and time-bound.</t>
        </is>
      </c>
      <c r="F41" s="6" t="inlineStr">
        <is>
          <t>AI-R02, AI-R18, AI-R28, AI-R55</t>
        </is>
      </c>
      <c r="G41" s="6" t="inlineStr">
        <is>
          <t>AI risk register; treatment plans; risk acceptance records; exception register with expiry dates.</t>
        </is>
      </c>
      <c r="H41" s="6" t="inlineStr">
        <is>
          <t>Sample accepted risks and confirm the approver had the authority. Let a test exception expire and confirm the technical control blocks the activity again.</t>
        </is>
      </c>
    </row>
    <row r="42" ht="75" customHeight="1">
      <c r="A42" s="164" t="inlineStr">
        <is>
          <t>GAP-038</t>
        </is>
      </c>
      <c r="B42" s="164" t="inlineStr">
        <is>
          <t>Control Assurance and Audit Evidence missing or ineffective</t>
        </is>
      </c>
      <c r="C42" s="164" t="inlineStr">
        <is>
          <t>AI-CTRL-038</t>
        </is>
      </c>
      <c r="D42" s="164" t="inlineStr">
        <is>
          <t>Advanced</t>
        </is>
      </c>
      <c r="E42" s="164" t="inlineStr">
        <is>
          <t>Show, with current evidence, that each AI control is operating and that findings are closed.</t>
        </is>
      </c>
      <c r="F42" s="164" t="inlineStr">
        <is>
          <t>AI-R09, AI-R15, AI-R28</t>
        </is>
      </c>
      <c r="G42" s="164" t="inlineStr">
        <is>
          <t>Control effectiveness results; evidence packs with collection dates; owner attestations; findings log; record change history.</t>
        </is>
      </c>
      <c r="H42" s="164" t="inlineStr">
        <is>
          <t>Request an evidence pack for a sampled control at short notice and check that the evidence is current. Confirm a closed finding was verified before closure.</t>
        </is>
      </c>
    </row>
    <row r="43" ht="75" customHeight="1">
      <c r="A43" s="6" t="inlineStr">
        <is>
          <t>GAP-039</t>
        </is>
      </c>
      <c r="B43" s="6" t="inlineStr">
        <is>
          <t>Output Reliability and Content Safety missing or ineffective</t>
        </is>
      </c>
      <c r="C43" s="6" t="inlineStr">
        <is>
          <t>AI-CTRL-039</t>
        </is>
      </c>
      <c r="D43" s="6" t="inlineStr">
        <is>
          <t>Advanced</t>
        </is>
      </c>
      <c r="E43" s="6" t="inlineStr">
        <is>
          <t>Keep AI output grounded, within its approved scope and free of harmful content.</t>
        </is>
      </c>
      <c r="F43" s="6" t="inlineStr">
        <is>
          <t>AI-R12, AI-R14, AI-R20</t>
        </is>
      </c>
      <c r="G43" s="6" t="inlineStr">
        <is>
          <t>Grounding and citation test results; topic policy; harmful content filter results; factuality baseline.</t>
        </is>
      </c>
      <c r="H43" s="6" t="inlineStr">
        <is>
          <t>Ask questions the sources cannot answer and confirm the assistant says so. Confirm fabricated package names and links are flagged, and off-topic requests are refused.</t>
        </is>
      </c>
    </row>
    <row r="44" ht="75" customHeight="1">
      <c r="A44" s="164" t="inlineStr">
        <is>
          <t>GAP-040</t>
        </is>
      </c>
      <c r="B44" s="164" t="inlineStr">
        <is>
          <t>AI Service Resilience and Fail-Safe Operation missing or ineffective</t>
        </is>
      </c>
      <c r="C44" s="164" t="inlineStr">
        <is>
          <t>AI-CTRL-040</t>
        </is>
      </c>
      <c r="D44" s="164" t="inlineStr">
        <is>
          <t>Advanced</t>
        </is>
      </c>
      <c r="E44" s="164" t="inlineStr">
        <is>
          <t>Keep AI services and their security controls available, and make them fail safely.</t>
        </is>
      </c>
      <c r="F44" s="164" t="inlineStr">
        <is>
          <t>AI-R13, AI-R16</t>
        </is>
      </c>
      <c r="G44" s="164" t="inlineStr">
        <is>
          <t>Fail-mode test results; latency and load measurements; failover and restore tests; continuity and exit plans; health monitoring alerts.</t>
        </is>
      </c>
      <c r="H44" s="164" t="inlineStr">
        <is>
          <t>Disable the protection layer in the lab and confirm the documented fail mode. Fail over to the secondary model or region and confirm policy, logging and residency still hold.</t>
        </is>
      </c>
    </row>
    <row r="45" ht="75" customHeight="1">
      <c r="A45" s="6" t="inlineStr">
        <is>
          <t>GAP-041</t>
        </is>
      </c>
      <c r="B45" s="6" t="inlineStr">
        <is>
          <t>Fairness, Bias Testing and Explainability missing or ineffective</t>
        </is>
      </c>
      <c r="C45" s="6" t="inlineStr">
        <is>
          <t>AI-CTRL-041</t>
        </is>
      </c>
      <c r="D45" s="6" t="inlineStr">
        <is>
          <t>Advanced</t>
        </is>
      </c>
      <c r="E45" s="6" t="inlineStr">
        <is>
          <t>Test AI systems that make or support high-impact decisions for unfair bias, and keep explanations that a person can understand and a reviewer can challenge.</t>
        </is>
      </c>
      <c r="F45" s="6" t="inlineStr">
        <is>
          <t>AI-R12, AI-R14, AI-R15</t>
        </is>
      </c>
      <c r="G45" s="6" t="inlineStr">
        <is>
          <t>Bias test plan and results; customer AI-use notices; threshold approvals; necessity record for sensitive data; explanation records; human-review log; retest evidence; current bias profile with its validated application boundaries.</t>
        </is>
      </c>
      <c r="H45" s="6" t="inlineStr">
        <is>
          <t>Sample high-impact use cases and confirm a current bias test exists. Re-perform one test. Trace one decision to its explanation and review outcome. Confirm a failed result led to action.</t>
        </is>
      </c>
    </row>
    <row r="46" ht="75" customHeight="1">
      <c r="A46" s="164" t="inlineStr">
        <is>
          <t>GAP-042</t>
        </is>
      </c>
      <c r="B46" s="164" t="inlineStr">
        <is>
          <t>Fundamental Rights and Data Protection Impact Assessment missing or ineffective</t>
        </is>
      </c>
      <c r="C46" s="164" t="inlineStr">
        <is>
          <t>AI-CTRL-042</t>
        </is>
      </c>
      <c r="D46" s="164" t="inlineStr">
        <is>
          <t>Advanced</t>
        </is>
      </c>
      <c r="E46" s="164" t="inlineStr">
        <is>
          <t>Assess the impact on people's rights before deploying AI that is high-risk or that puts personal data at risk, and keep the assessment current.</t>
        </is>
      </c>
      <c r="F46" s="164" t="inlineStr">
        <is>
          <t>AI-R10, AI-R12, AI-R28</t>
        </is>
      </c>
      <c r="G46" s="164" t="inlineStr">
        <is>
          <t>Completed assessments; data protection officer advice; approvals dated before go-live; review dates; reassessment records.</t>
        </is>
      </c>
      <c r="H46" s="164" t="inlineStr">
        <is>
          <t>Sample in-scope systems and confirm the assessment predates go-live. Check that each risk maps to a mitigation. Confirm that the last material change triggered a reassessment.</t>
        </is>
      </c>
    </row>
    <row r="47" ht="75" customHeight="1">
      <c r="A47" s="6" t="inlineStr">
        <is>
          <t>GAP-043</t>
        </is>
      </c>
      <c r="B47" s="6" t="inlineStr">
        <is>
          <t>Regulator and Authority Engagement missing or ineffective</t>
        </is>
      </c>
      <c r="C47" s="6" t="inlineStr">
        <is>
          <t>AI-CTRL-043</t>
        </is>
      </c>
      <c r="D47" s="6" t="inlineStr">
        <is>
          <t>Advanced</t>
        </is>
      </c>
      <c r="E47" s="6" t="inlineStr">
        <is>
          <t>Know which authorities oversee each AI system, meet the registration, filing and notification duties they set, and keep a record of every contact.</t>
        </is>
      </c>
      <c r="F47" s="6" t="inlineStr">
        <is>
          <t>AI-R09, AI-R10</t>
        </is>
      </c>
      <c r="G47" s="6" t="inlineStr">
        <is>
          <t>Authority register; filing and registration records; representative appointments; contact log; watchlist of pending rules.</t>
        </is>
      </c>
      <c r="H47" s="6" t="inlineStr">
        <is>
          <t>Sample AI systems and confirm each lists its authorities and duties. Trace one filing or notification to its due date and evidence. Confirm the register was reviewed in the period.</t>
        </is>
      </c>
    </row>
    <row r="48" ht="75" customHeight="1">
      <c r="A48" s="164" t="inlineStr">
        <is>
          <t>GAP-044</t>
        </is>
      </c>
      <c r="B48" s="164" t="inlineStr">
        <is>
          <t>AI Literacy and Role-Based Competence missing or ineffective</t>
        </is>
      </c>
      <c r="C48" s="164" t="inlineStr">
        <is>
          <t>AI-CTRL-044</t>
        </is>
      </c>
      <c r="D48" s="164" t="inlineStr">
        <is>
          <t>Advanced</t>
        </is>
      </c>
      <c r="E48" s="164" t="inlineStr">
        <is>
          <t>Give everyone who builds, operates, oversees or uses AI the knowledge their role needs, and keep the records that show it.</t>
        </is>
      </c>
      <c r="F48" s="164" t="inlineStr">
        <is>
          <t>AI-R02, AI-R19</t>
        </is>
      </c>
      <c r="G48" s="164" t="inlineStr">
        <is>
          <t>Role and needs matrix; programme and modules; completion records; effectiveness checks.</t>
        </is>
      </c>
      <c r="H48" s="164" t="inlineStr">
        <is>
          <t>Sample staff in three role groups and confirm each completed training that matches the role. Confirm human reviewers were trained before they were assigned. Review one effectiveness check.</t>
        </is>
      </c>
    </row>
    <row r="49" ht="75" customHeight="1">
      <c r="A49" s="6" t="inlineStr">
        <is>
          <t>GAP-045</t>
        </is>
      </c>
      <c r="B49" s="6" t="inlineStr">
        <is>
          <t>Human Oversight Design and Effectiveness missing or ineffective</t>
        </is>
      </c>
      <c r="C49" s="6" t="inlineStr">
        <is>
          <t>AI-CTRL-045</t>
        </is>
      </c>
      <c r="D49" s="6" t="inlineStr">
        <is>
          <t>Advanced</t>
        </is>
      </c>
      <c r="E49" s="6" t="inlineStr">
        <is>
          <t>Design human review so the people named as overseers can understand, challenge, override and stop an AI system, and show with measures that they do.</t>
        </is>
      </c>
      <c r="F49" s="6" t="inlineStr">
        <is>
          <t>AI-R07, AI-R12, AI-R14, AI-R18, AI-R19, AI-R28</t>
        </is>
      </c>
      <c r="G49" s="6" t="inlineStr">
        <is>
          <t>Oversight design record per in-scope use case; overseer roles, authority and training records; sampled re-review results; override and escalation metrics; seeded-error test results.</t>
        </is>
      </c>
      <c r="H49" s="6" t="inlineStr">
        <is>
          <t>Select a high-tier use case and compare the oversight points in operation with the design record. Interview two overseers about the evidence they see and their authority to override. Submit a set of known-wrong outputs and measure how many are caught. Confirm the overseers can stop the system and that override metrics are reviewed.</t>
        </is>
      </c>
    </row>
    <row r="50" ht="75" customHeight="1">
      <c r="A50" s="164" t="inlineStr">
        <is>
          <t>GAP-046</t>
        </is>
      </c>
      <c r="B50" s="164" t="inlineStr">
        <is>
          <t>Intellectual Property and Copyright Governance missing or ineffective</t>
        </is>
      </c>
      <c r="C50" s="164" t="inlineStr">
        <is>
          <t>AI-CTRL-046</t>
        </is>
      </c>
      <c r="D50" s="164" t="inlineStr">
        <is>
          <t>Advanced</t>
        </is>
      </c>
      <c r="E50" s="164" t="inlineStr">
        <is>
          <t>Control the intellectual property and copyright exposure of AI inputs, outputs and training data.</t>
        </is>
      </c>
      <c r="F50" s="164" t="inlineStr">
        <is>
          <t>AI-R27</t>
        </is>
      </c>
      <c r="G50" s="164" t="inlineStr">
        <is>
          <t>IP and acceptable-use policy; vendor terms review; training data provenance and licence records; scan results; exception log.</t>
        </is>
      </c>
      <c r="H50" s="164" t="inlineStr">
        <is>
          <t>Sample vendors and confirm the terms were reviewed for output ownership and indemnity. Sample released AI-generated artefacts and confirm a scan result or a documented exception. Sample fine-tuning datasets and confirm source and licence are recorded.</t>
        </is>
      </c>
    </row>
  </sheetData>
  <autoFilter ref="A4:H50"/>
  <pageMargins left="0.75" right="0.75" top="1" bottom="1" header="0.5" footer="0.5"/>
</worksheet>
</file>

<file path=xl/worksheets/sheet15.xml><?xml version="1.0" encoding="utf-8"?>
<worksheet xmlns="http://schemas.openxmlformats.org/spreadsheetml/2006/main">
  <sheetPr>
    <tabColor rgb="00A50021"/>
    <outlinePr summaryBelow="1" summaryRight="1"/>
    <pageSetUpPr/>
  </sheetPr>
  <dimension ref="A1:H101"/>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44" customWidth="1" min="3" max="3"/>
    <col width="40" customWidth="1" min="4" max="4"/>
    <col width="40" customWidth="1" min="5" max="5"/>
    <col width="22" customWidth="1" min="6" max="6"/>
  </cols>
  <sheetData>
    <row r="1" ht="30" customHeight="1">
      <c r="A1" s="165" t="inlineStr">
        <is>
          <t>AI threat library (replaces the generic threat list)</t>
        </is>
      </c>
      <c r="B1" s="166" t="n"/>
      <c r="C1" s="166" t="n"/>
      <c r="D1" s="166" t="n"/>
      <c r="E1" s="166" t="n"/>
      <c r="F1" s="166" t="n"/>
      <c r="G1" s="166" t="n"/>
      <c r="H1" s="166" t="n"/>
    </row>
    <row r="2">
      <c r="A2" s="3" t="inlineStr">
        <is>
          <t>From the wiki's OWASP, OWASP MCP, MITRE ATLAS and NIST AI 600-1 crosswalks. "Risks" for OWASP and ATLAS are derived through the mapped controls; MCP and AI 600-1 risks are the wiki's direct mapping.</t>
        </is>
      </c>
    </row>
    <row r="3"/>
    <row r="4">
      <c r="A4" s="151" t="inlineStr">
        <is>
          <t>Source</t>
        </is>
      </c>
      <c r="B4" s="151" t="inlineStr">
        <is>
          <t>ID</t>
        </is>
      </c>
      <c r="C4" s="151" t="inlineStr">
        <is>
          <t>Threat / technique</t>
        </is>
      </c>
      <c r="D4" s="151" t="inlineStr">
        <is>
          <t>Wiki controls</t>
        </is>
      </c>
      <c r="E4" s="151" t="inlineStr">
        <is>
          <t>Register risks</t>
        </is>
      </c>
      <c r="F4" s="151" t="inlineStr">
        <is>
          <t>How the risks were linked</t>
        </is>
      </c>
    </row>
    <row r="5">
      <c r="A5" s="6" t="inlineStr">
        <is>
          <t>OWASP Top 10 for LLM Applications 2025</t>
        </is>
      </c>
      <c r="B5" s="6" t="inlineStr">
        <is>
          <t>LLM01:2025</t>
        </is>
      </c>
      <c r="C5" s="6" t="inlineStr">
        <is>
          <t>Prompt Injection</t>
        </is>
      </c>
      <c r="D5" s="6" t="inlineStr">
        <is>
          <t>AI-CTRL-005, AI-CTRL-021, AI-CTRL-026, AI-CTRL-034</t>
        </is>
      </c>
      <c r="E5" s="6" t="inlineStr">
        <is>
          <t>AI-R03, AI-R05, AI-R06, AI-R07, AI-R16, AI-R17, AI-R20, AI-R21, AI-R24</t>
        </is>
      </c>
      <c r="F5" s="6" t="inlineStr">
        <is>
          <t>Derived via controls</t>
        </is>
      </c>
    </row>
    <row r="6">
      <c r="A6" s="167" t="inlineStr">
        <is>
          <t>OWASP Top 10 for LLM Applications 2025</t>
        </is>
      </c>
      <c r="B6" s="167" t="inlineStr">
        <is>
          <t>LLM02:2025</t>
        </is>
      </c>
      <c r="C6" s="167" t="inlineStr">
        <is>
          <t>Sensitive Information Disclosure</t>
        </is>
      </c>
      <c r="D6" s="167" t="inlineStr">
        <is>
          <t>AI-CTRL-002, AI-CTRL-003, AI-CTRL-004, AI-CTRL-010, AI-CTRL-013, AI-CTRL-017, AI-CTRL-018, AI-CTRL-020, AI-CTRL-021, AI-CTRL-028, AI-CTRL-034</t>
        </is>
      </c>
      <c r="E6" s="167" t="inlineStr">
        <is>
          <t>AI-R01, AI-R02, AI-R03, AI-R04, AI-R05, AI-R06, AI-R07, AI-R08, AI-R10, AI-R16, AI-R17, AI-R20, AI-R22, AI-R24, AI-R26, AI-R27, AI-R28</t>
        </is>
      </c>
      <c r="F6" s="167" t="inlineStr">
        <is>
          <t>Derived via controls</t>
        </is>
      </c>
    </row>
    <row r="7">
      <c r="A7" s="6" t="inlineStr">
        <is>
          <t>OWASP Top 10 for LLM Applications 2025</t>
        </is>
      </c>
      <c r="B7" s="6" t="inlineStr">
        <is>
          <t>LLM03:2025</t>
        </is>
      </c>
      <c r="C7" s="6" t="inlineStr">
        <is>
          <t>Supply Chain</t>
        </is>
      </c>
      <c r="D7" s="6" t="inlineStr">
        <is>
          <t>AI-CTRL-001, AI-CTRL-004, AI-CTRL-014, AI-CTRL-024, AI-CTRL-030, AI-CTRL-031, AI-CTRL-032, AI-CTRL-034</t>
        </is>
      </c>
      <c r="E7" s="6" t="inlineStr">
        <is>
          <t>AI-R02, AI-R04, AI-R05, AI-R07, AI-R08, AI-R10, AI-R16, AI-R17, AI-R20, AI-R22, AI-R23, AI-R24</t>
        </is>
      </c>
      <c r="F7" s="6" t="inlineStr">
        <is>
          <t>Derived via controls</t>
        </is>
      </c>
    </row>
    <row r="8">
      <c r="A8" s="167" t="inlineStr">
        <is>
          <t>OWASP Top 10 for LLM Applications 2025</t>
        </is>
      </c>
      <c r="B8" s="167" t="inlineStr">
        <is>
          <t>LLM04:2025</t>
        </is>
      </c>
      <c r="C8" s="167" t="inlineStr">
        <is>
          <t>Data and Model Poisoning</t>
        </is>
      </c>
      <c r="D8" s="167" t="inlineStr">
        <is>
          <t>AI-CTRL-019, AI-CTRL-026, AI-CTRL-029, AI-CTRL-030, AI-CTRL-034</t>
        </is>
      </c>
      <c r="E8" s="167" t="inlineStr">
        <is>
          <t>AI-R05, AI-R07, AI-R08, AI-R16, AI-R17, AI-R20, AI-R21</t>
        </is>
      </c>
      <c r="F8" s="167" t="inlineStr">
        <is>
          <t>Derived via controls</t>
        </is>
      </c>
    </row>
    <row r="9">
      <c r="A9" s="6" t="inlineStr">
        <is>
          <t>OWASP Top 10 for LLM Applications 2025</t>
        </is>
      </c>
      <c r="B9" s="6" t="inlineStr">
        <is>
          <t>LLM05:2025</t>
        </is>
      </c>
      <c r="C9" s="6" t="inlineStr">
        <is>
          <t>Improper Output Handling</t>
        </is>
      </c>
      <c r="D9" s="6" t="inlineStr">
        <is>
          <t>AI-CTRL-020, AI-CTRL-034</t>
        </is>
      </c>
      <c r="E9" s="6" t="inlineStr">
        <is>
          <t>AI-R05, AI-R06, AI-R07, AI-R16, AI-R17, AI-R20, AI-R24, AI-R26</t>
        </is>
      </c>
      <c r="F9" s="6" t="inlineStr">
        <is>
          <t>Derived via controls</t>
        </is>
      </c>
    </row>
    <row r="10">
      <c r="A10" s="167" t="inlineStr">
        <is>
          <t>OWASP Top 10 for LLM Applications 2025</t>
        </is>
      </c>
      <c r="B10" s="167" t="inlineStr">
        <is>
          <t>LLM06:2025</t>
        </is>
      </c>
      <c r="C10" s="167" t="inlineStr">
        <is>
          <t>Excessive Agency</t>
        </is>
      </c>
      <c r="D10" s="167" t="inlineStr">
        <is>
          <t>AI-CTRL-006, AI-CTRL-015, AI-CTRL-016, AI-CTRL-022, AI-CTRL-023, AI-CTRL-025, AI-CTRL-027, AI-CTRL-034, AI-CTRL-045</t>
        </is>
      </c>
      <c r="E10" s="167" t="inlineStr">
        <is>
          <t>AI-R05, AI-R06, AI-R07, AI-R08, AI-R11, AI-R12, AI-R14, AI-R16, AI-R17, AI-R18, AI-R19, AI-R20, AI-R21, AI-R22, AI-R24, AI-R25, AI-R28, AI-R55</t>
        </is>
      </c>
      <c r="F10" s="167" t="inlineStr">
        <is>
          <t>Derived via controls</t>
        </is>
      </c>
    </row>
    <row r="11">
      <c r="A11" s="6" t="inlineStr">
        <is>
          <t>OWASP Top 10 for LLM Applications 2025</t>
        </is>
      </c>
      <c r="B11" s="6" t="inlineStr">
        <is>
          <t>LLM07:2025</t>
        </is>
      </c>
      <c r="C11" s="6" t="inlineStr">
        <is>
          <t>System Prompt Leakage</t>
        </is>
      </c>
      <c r="D11" s="6" t="inlineStr">
        <is>
          <t>AI-CTRL-005, AI-CTRL-034</t>
        </is>
      </c>
      <c r="E11" s="6" t="inlineStr">
        <is>
          <t>AI-R05, AI-R06, AI-R07, AI-R16, AI-R17, AI-R20, AI-R24</t>
        </is>
      </c>
      <c r="F11" s="6" t="inlineStr">
        <is>
          <t>Derived via controls</t>
        </is>
      </c>
    </row>
    <row r="12">
      <c r="A12" s="167" t="inlineStr">
        <is>
          <t>OWASP Top 10 for LLM Applications 2025</t>
        </is>
      </c>
      <c r="B12" s="167" t="inlineStr">
        <is>
          <t>LLM08:2025</t>
        </is>
      </c>
      <c r="C12" s="167" t="inlineStr">
        <is>
          <t>Vector and Embedding Weaknesses</t>
        </is>
      </c>
      <c r="D12" s="167" t="inlineStr">
        <is>
          <t>AI-CTRL-018, AI-CTRL-019, AI-CTRL-034</t>
        </is>
      </c>
      <c r="E12" s="167" t="inlineStr">
        <is>
          <t>AI-R05, AI-R06, AI-R07, AI-R08, AI-R16, AI-R17, AI-R20</t>
        </is>
      </c>
      <c r="F12" s="167" t="inlineStr">
        <is>
          <t>Derived via controls</t>
        </is>
      </c>
    </row>
    <row r="13">
      <c r="A13" s="6" t="inlineStr">
        <is>
          <t>OWASP Top 10 for LLM Applications 2025</t>
        </is>
      </c>
      <c r="B13" s="6" t="inlineStr">
        <is>
          <t>LLM09:2025</t>
        </is>
      </c>
      <c r="C13" s="6" t="inlineStr">
        <is>
          <t>Misinformation</t>
        </is>
      </c>
      <c r="D13" s="6" t="inlineStr">
        <is>
          <t>AI-CTRL-034, AI-CTRL-039</t>
        </is>
      </c>
      <c r="E13" s="6" t="inlineStr">
        <is>
          <t>AI-R05, AI-R07, AI-R12, AI-R14, AI-R16, AI-R17, AI-R20</t>
        </is>
      </c>
      <c r="F13" s="6" t="inlineStr">
        <is>
          <t>Derived via controls</t>
        </is>
      </c>
    </row>
    <row r="14">
      <c r="A14" s="167" t="inlineStr">
        <is>
          <t>OWASP Top 10 for LLM Applications 2025</t>
        </is>
      </c>
      <c r="B14" s="167" t="inlineStr">
        <is>
          <t>LLM10:2025</t>
        </is>
      </c>
      <c r="C14" s="167" t="inlineStr">
        <is>
          <t>Unbounded Consumption</t>
        </is>
      </c>
      <c r="D14" s="167" t="inlineStr">
        <is>
          <t>AI-CTRL-028, AI-CTRL-034, AI-CTRL-036</t>
        </is>
      </c>
      <c r="E14" s="167" t="inlineStr">
        <is>
          <t>AI-R05, AI-R07, AI-R08, AI-R11, AI-R16, AI-R17, AI-R20</t>
        </is>
      </c>
      <c r="F14" s="167" t="inlineStr">
        <is>
          <t>Derived via controls</t>
        </is>
      </c>
    </row>
    <row r="15">
      <c r="A15" s="6" t="inlineStr">
        <is>
          <t>OWASP Top 10 for Agentic Applications</t>
        </is>
      </c>
      <c r="B15" s="6" t="inlineStr">
        <is>
          <t>ASI01</t>
        </is>
      </c>
      <c r="C15" s="6" t="inlineStr">
        <is>
          <t>Agent Goal Hijack</t>
        </is>
      </c>
      <c r="D15" s="6" t="inlineStr">
        <is>
          <t>AI-CTRL-005</t>
        </is>
      </c>
      <c r="E15" s="6" t="inlineStr">
        <is>
          <t>AI-R05, AI-R06, AI-R24</t>
        </is>
      </c>
      <c r="F15" s="6" t="inlineStr">
        <is>
          <t>Derived via controls</t>
        </is>
      </c>
    </row>
    <row r="16">
      <c r="A16" s="167" t="inlineStr">
        <is>
          <t>OWASP Top 10 for Agentic Applications</t>
        </is>
      </c>
      <c r="B16" s="167" t="inlineStr">
        <is>
          <t>ASI02</t>
        </is>
      </c>
      <c r="C16" s="167" t="inlineStr">
        <is>
          <t>Tool Misuse &amp; Exploitation</t>
        </is>
      </c>
      <c r="D16" s="167" t="inlineStr">
        <is>
          <t>AI-CTRL-022, AI-CTRL-024</t>
        </is>
      </c>
      <c r="E16" s="167" t="inlineStr">
        <is>
          <t>AI-R07, AI-R08, AI-R23, AI-R24</t>
        </is>
      </c>
      <c r="F16" s="167" t="inlineStr">
        <is>
          <t>Derived via controls</t>
        </is>
      </c>
    </row>
    <row r="17">
      <c r="A17" s="6" t="inlineStr">
        <is>
          <t>OWASP Top 10 for Agentic Applications</t>
        </is>
      </c>
      <c r="B17" s="6" t="inlineStr">
        <is>
          <t>ASI03</t>
        </is>
      </c>
      <c r="C17" s="6" t="inlineStr">
        <is>
          <t>Identity &amp; Privilege Abuse</t>
        </is>
      </c>
      <c r="D17" s="6" t="inlineStr">
        <is>
          <t>AI-CTRL-015, AI-CTRL-016</t>
        </is>
      </c>
      <c r="E17" s="6" t="inlineStr">
        <is>
          <t>AI-R06, AI-R07, AI-R08, AI-R22, AI-R25</t>
        </is>
      </c>
      <c r="F17" s="6" t="inlineStr">
        <is>
          <t>Derived via controls</t>
        </is>
      </c>
    </row>
    <row r="18">
      <c r="A18" s="167" t="inlineStr">
        <is>
          <t>OWASP Top 10 for Agentic Applications</t>
        </is>
      </c>
      <c r="B18" s="167" t="inlineStr">
        <is>
          <t>ASI04</t>
        </is>
      </c>
      <c r="C18" s="167" t="inlineStr">
        <is>
          <t>Agentic Supply Chain Vulnerabilities</t>
        </is>
      </c>
      <c r="D18" s="167" t="inlineStr">
        <is>
          <t>AI-CTRL-024</t>
        </is>
      </c>
      <c r="E18" s="167" t="inlineStr">
        <is>
          <t>AI-R07, AI-R08, AI-R23, AI-R24</t>
        </is>
      </c>
      <c r="F18" s="167" t="inlineStr">
        <is>
          <t>Derived via controls</t>
        </is>
      </c>
    </row>
    <row r="19">
      <c r="A19" s="6" t="inlineStr">
        <is>
          <t>OWASP Top 10 for Agentic Applications</t>
        </is>
      </c>
      <c r="B19" s="6" t="inlineStr">
        <is>
          <t>ASI05</t>
        </is>
      </c>
      <c r="C19" s="6" t="inlineStr">
        <is>
          <t>Unexpected Code Execution (RCE)</t>
        </is>
      </c>
      <c r="D19" s="6" t="inlineStr">
        <is>
          <t>AI-CTRL-027</t>
        </is>
      </c>
      <c r="E19" s="6" t="inlineStr">
        <is>
          <t>AI-R07, AI-R21, AI-R22, AI-R25, AI-R55</t>
        </is>
      </c>
      <c r="F19" s="6" t="inlineStr">
        <is>
          <t>Derived via controls</t>
        </is>
      </c>
    </row>
    <row r="20">
      <c r="A20" s="167" t="inlineStr">
        <is>
          <t>OWASP Top 10 for Agentic Applications</t>
        </is>
      </c>
      <c r="B20" s="167" t="inlineStr">
        <is>
          <t>ASI06</t>
        </is>
      </c>
      <c r="C20" s="167" t="inlineStr">
        <is>
          <t>Memory &amp; Context Poisoning</t>
        </is>
      </c>
      <c r="D20" s="167" t="inlineStr">
        <is>
          <t>AI-CTRL-026</t>
        </is>
      </c>
      <c r="E20" s="167" t="inlineStr">
        <is>
          <t>AI-R05, AI-R07, AI-R21</t>
        </is>
      </c>
      <c r="F20" s="167" t="inlineStr">
        <is>
          <t>Derived via controls</t>
        </is>
      </c>
    </row>
    <row r="21">
      <c r="A21" s="6" t="inlineStr">
        <is>
          <t>OWASP Top 10 for Agentic Applications</t>
        </is>
      </c>
      <c r="B21" s="6" t="inlineStr">
        <is>
          <t>ASI07</t>
        </is>
      </c>
      <c r="C21" s="6" t="inlineStr">
        <is>
          <t>Insecure Inter-Agent Communication</t>
        </is>
      </c>
      <c r="D21" s="6" t="inlineStr">
        <is>
          <t>AI-CTRL-006, AI-CTRL-015</t>
        </is>
      </c>
      <c r="E21" s="6" t="inlineStr">
        <is>
          <t>AI-R07, AI-R22, AI-R25</t>
        </is>
      </c>
      <c r="F21" s="6" t="inlineStr">
        <is>
          <t>Derived via controls</t>
        </is>
      </c>
    </row>
    <row r="22">
      <c r="A22" s="167" t="inlineStr">
        <is>
          <t>OWASP Top 10 for Agentic Applications</t>
        </is>
      </c>
      <c r="B22" s="167" t="inlineStr">
        <is>
          <t>ASI08</t>
        </is>
      </c>
      <c r="C22" s="167" t="inlineStr">
        <is>
          <t>Cascading Failures</t>
        </is>
      </c>
      <c r="D22" s="167" t="inlineStr">
        <is>
          <t>AI-CTRL-025</t>
        </is>
      </c>
      <c r="E22" s="167" t="inlineStr">
        <is>
          <t>AI-R07, AI-R11, AI-R21, AI-R25, AI-R55</t>
        </is>
      </c>
      <c r="F22" s="167" t="inlineStr">
        <is>
          <t>Derived via controls</t>
        </is>
      </c>
    </row>
    <row r="23">
      <c r="A23" s="6" t="inlineStr">
        <is>
          <t>OWASP Top 10 for Agentic Applications</t>
        </is>
      </c>
      <c r="B23" s="6" t="inlineStr">
        <is>
          <t>ASI09</t>
        </is>
      </c>
      <c r="C23" s="6" t="inlineStr">
        <is>
          <t>Human-Agent Trust Exploitation</t>
        </is>
      </c>
      <c r="D23" s="6" t="inlineStr">
        <is>
          <t>AI-CTRL-023, AI-CTRL-045</t>
        </is>
      </c>
      <c r="E23" s="6" t="inlineStr">
        <is>
          <t>AI-R07, AI-R12, AI-R14, AI-R18, AI-R19, AI-R28</t>
        </is>
      </c>
      <c r="F23" s="6" t="inlineStr">
        <is>
          <t>Derived via controls</t>
        </is>
      </c>
    </row>
    <row r="24">
      <c r="A24" s="167" t="inlineStr">
        <is>
          <t>OWASP Top 10 for Agentic Applications</t>
        </is>
      </c>
      <c r="B24" s="167" t="inlineStr">
        <is>
          <t>ASI10</t>
        </is>
      </c>
      <c r="C24" s="167" t="inlineStr">
        <is>
          <t>Rogue Agents</t>
        </is>
      </c>
      <c r="D24" s="167" t="inlineStr">
        <is>
          <t>AI-CTRL-006, AI-CTRL-025</t>
        </is>
      </c>
      <c r="E24" s="167" t="inlineStr">
        <is>
          <t>AI-R07, AI-R11, AI-R21, AI-R25, AI-R55</t>
        </is>
      </c>
      <c r="F24" s="167" t="inlineStr">
        <is>
          <t>Derived via controls</t>
        </is>
      </c>
    </row>
    <row r="25">
      <c r="A25" s="6" t="inlineStr">
        <is>
          <t>OWASP MCP Top 10 (beta)</t>
        </is>
      </c>
      <c r="B25" s="6" t="inlineStr">
        <is>
          <t>MCP01:2025</t>
        </is>
      </c>
      <c r="C25" s="6" t="inlineStr">
        <is>
          <t>Token Mismanagement &amp; Secret Exposure</t>
        </is>
      </c>
      <c r="D25" s="6" t="inlineStr">
        <is>
          <t>AI-CTRL-015, AI-CTRL-016</t>
        </is>
      </c>
      <c r="E25" s="6" t="inlineStr">
        <is>
          <t>AI-R22</t>
        </is>
      </c>
      <c r="F25" s="6" t="inlineStr">
        <is>
          <t>Wiki mapping (Direct)</t>
        </is>
      </c>
    </row>
    <row r="26">
      <c r="A26" s="167" t="inlineStr">
        <is>
          <t>OWASP MCP Top 10 (beta)</t>
        </is>
      </c>
      <c r="B26" s="167" t="inlineStr">
        <is>
          <t>MCP02:2025</t>
        </is>
      </c>
      <c r="C26" s="167" t="inlineStr">
        <is>
          <t>Privilege Escalation via Scope Creep</t>
        </is>
      </c>
      <c r="D26" s="167" t="inlineStr">
        <is>
          <t>AI-CTRL-016, AI-CTRL-024</t>
        </is>
      </c>
      <c r="E26" s="167" t="inlineStr">
        <is>
          <t>AI-R07, AI-R23</t>
        </is>
      </c>
      <c r="F26" s="167" t="inlineStr">
        <is>
          <t>Wiki mapping (Direct)</t>
        </is>
      </c>
    </row>
    <row r="27">
      <c r="A27" s="6" t="inlineStr">
        <is>
          <t>OWASP MCP Top 10 (beta)</t>
        </is>
      </c>
      <c r="B27" s="6" t="inlineStr">
        <is>
          <t>MCP03:2025</t>
        </is>
      </c>
      <c r="C27" s="6" t="inlineStr">
        <is>
          <t>Tool Poisoning</t>
        </is>
      </c>
      <c r="D27" s="6" t="inlineStr">
        <is>
          <t>AI-CTRL-024, AI-CTRL-026</t>
        </is>
      </c>
      <c r="E27" s="6" t="inlineStr">
        <is>
          <t>AI-R23, AI-R24</t>
        </is>
      </c>
      <c r="F27" s="6" t="inlineStr">
        <is>
          <t>Wiki mapping (Direct)</t>
        </is>
      </c>
    </row>
    <row r="28">
      <c r="A28" s="167" t="inlineStr">
        <is>
          <t>OWASP MCP Top 10 (beta)</t>
        </is>
      </c>
      <c r="B28" s="167" t="inlineStr">
        <is>
          <t>MCP04:2025</t>
        </is>
      </c>
      <c r="C28" s="167" t="inlineStr">
        <is>
          <t>Software Supply Chain Attacks &amp; Dependency Tampering</t>
        </is>
      </c>
      <c r="D28" s="167" t="inlineStr">
        <is>
          <t>AI-CTRL-024, AI-CTRL-031</t>
        </is>
      </c>
      <c r="E28" s="167" t="inlineStr">
        <is>
          <t>AI-R23, AI-R08</t>
        </is>
      </c>
      <c r="F28" s="167" t="inlineStr">
        <is>
          <t>Wiki mapping (Direct)</t>
        </is>
      </c>
    </row>
    <row r="29">
      <c r="A29" s="6" t="inlineStr">
        <is>
          <t>OWASP MCP Top 10 (beta)</t>
        </is>
      </c>
      <c r="B29" s="6" t="inlineStr">
        <is>
          <t>MCP05:2025</t>
        </is>
      </c>
      <c r="C29" s="6" t="inlineStr">
        <is>
          <t>Command Injection &amp; Execution</t>
        </is>
      </c>
      <c r="D29" s="6" t="inlineStr">
        <is>
          <t>AI-CTRL-020, AI-CTRL-027</t>
        </is>
      </c>
      <c r="E29" s="6" t="inlineStr">
        <is>
          <t>AI-R24, AI-R23</t>
        </is>
      </c>
      <c r="F29" s="6" t="inlineStr">
        <is>
          <t>Wiki mapping (Direct)</t>
        </is>
      </c>
    </row>
    <row r="30">
      <c r="A30" s="167" t="inlineStr">
        <is>
          <t>OWASP MCP Top 10 (beta)</t>
        </is>
      </c>
      <c r="B30" s="167" t="inlineStr">
        <is>
          <t>MCP06:2025</t>
        </is>
      </c>
      <c r="C30" s="167" t="inlineStr">
        <is>
          <t>Prompt Injection via Contextual Payloads</t>
        </is>
      </c>
      <c r="D30" s="167" t="inlineStr">
        <is>
          <t>AI-CTRL-005, AI-CTRL-022</t>
        </is>
      </c>
      <c r="E30" s="167" t="inlineStr">
        <is>
          <t>AI-R05, AI-R24</t>
        </is>
      </c>
      <c r="F30" s="167" t="inlineStr">
        <is>
          <t>Wiki mapping (Direct)</t>
        </is>
      </c>
    </row>
    <row r="31">
      <c r="A31" s="6" t="inlineStr">
        <is>
          <t>OWASP MCP Top 10 (beta)</t>
        </is>
      </c>
      <c r="B31" s="6" t="inlineStr">
        <is>
          <t>MCP07:2025</t>
        </is>
      </c>
      <c r="C31" s="6" t="inlineStr">
        <is>
          <t>Insufficient Authentication &amp; Authorization</t>
        </is>
      </c>
      <c r="D31" s="6" t="inlineStr">
        <is>
          <t>AI-CTRL-015, AI-CTRL-016</t>
        </is>
      </c>
      <c r="E31" s="6" t="inlineStr">
        <is>
          <t>AI-R07, AI-R46</t>
        </is>
      </c>
      <c r="F31" s="6" t="inlineStr">
        <is>
          <t>Wiki mapping (Direct)</t>
        </is>
      </c>
    </row>
    <row r="32">
      <c r="A32" s="167" t="inlineStr">
        <is>
          <t>OWASP MCP Top 10 (beta)</t>
        </is>
      </c>
      <c r="B32" s="167" t="inlineStr">
        <is>
          <t>MCP08:2025</t>
        </is>
      </c>
      <c r="C32" s="167" t="inlineStr">
        <is>
          <t>Lack of Audit and Telemetry</t>
        </is>
      </c>
      <c r="D32" s="167" t="inlineStr">
        <is>
          <t>AI-CTRL-008, AI-CTRL-009</t>
        </is>
      </c>
      <c r="E32" s="167" t="inlineStr">
        <is>
          <t>AI-R09, AI-R45</t>
        </is>
      </c>
      <c r="F32" s="167" t="inlineStr">
        <is>
          <t>Wiki mapping (Direct)</t>
        </is>
      </c>
    </row>
    <row r="33">
      <c r="A33" s="6" t="inlineStr">
        <is>
          <t>OWASP MCP Top 10 (beta)</t>
        </is>
      </c>
      <c r="B33" s="6" t="inlineStr">
        <is>
          <t>MCP09:2025</t>
        </is>
      </c>
      <c r="C33" s="6" t="inlineStr">
        <is>
          <t>Shadow MCP Servers</t>
        </is>
      </c>
      <c r="D33" s="6" t="inlineStr">
        <is>
          <t>AI-CTRL-001, AI-CTRL-024</t>
        </is>
      </c>
      <c r="E33" s="6" t="inlineStr">
        <is>
          <t>AI-R02, AI-R23</t>
        </is>
      </c>
      <c r="F33" s="6" t="inlineStr">
        <is>
          <t>Wiki mapping (Partial)</t>
        </is>
      </c>
    </row>
    <row r="34">
      <c r="A34" s="167" t="inlineStr">
        <is>
          <t>OWASP MCP Top 10 (beta)</t>
        </is>
      </c>
      <c r="B34" s="167" t="inlineStr">
        <is>
          <t>MCP10:2025</t>
        </is>
      </c>
      <c r="C34" s="167" t="inlineStr">
        <is>
          <t>Context Injection &amp; Over-Sharing</t>
        </is>
      </c>
      <c r="D34" s="167" t="inlineStr">
        <is>
          <t>AI-CTRL-018, AI-CTRL-026</t>
        </is>
      </c>
      <c r="E34" s="167" t="inlineStr">
        <is>
          <t>AI-R06, AI-R21</t>
        </is>
      </c>
      <c r="F34" s="167" t="inlineStr">
        <is>
          <t>Wiki mapping (Partial)</t>
        </is>
      </c>
    </row>
    <row r="35">
      <c r="A35" s="6" t="inlineStr">
        <is>
          <t>MITRE ATLAS technique</t>
        </is>
      </c>
      <c r="B35" s="6" t="inlineStr">
        <is>
          <t>AML.T0010</t>
        </is>
      </c>
      <c r="C35" s="6" t="inlineStr">
        <is>
          <t>AI Supply Chain Compromise</t>
        </is>
      </c>
      <c r="D35" s="6" t="inlineStr">
        <is>
          <t>AI-CTRL-014, AI-CTRL-024, AI-CTRL-030, AI-CTRL-031</t>
        </is>
      </c>
      <c r="E35" s="6" t="inlineStr">
        <is>
          <t>AI-R07, AI-R08, AI-R10, AI-R16, AI-R23, AI-R24</t>
        </is>
      </c>
      <c r="F35" s="6" t="inlineStr">
        <is>
          <t>Derived via controls</t>
        </is>
      </c>
    </row>
    <row r="36">
      <c r="A36" s="167" t="inlineStr">
        <is>
          <t>MITRE ATLAS technique</t>
        </is>
      </c>
      <c r="B36" s="167" t="inlineStr">
        <is>
          <t>AML.T0012</t>
        </is>
      </c>
      <c r="C36" s="167" t="inlineStr">
        <is>
          <t>Valid Accounts</t>
        </is>
      </c>
      <c r="D36" s="167" t="inlineStr">
        <is>
          <t>AI-CTRL-015, AI-CTRL-016</t>
        </is>
      </c>
      <c r="E36" s="167" t="inlineStr">
        <is>
          <t>AI-R06, AI-R07, AI-R08, AI-R22, AI-R25</t>
        </is>
      </c>
      <c r="F36" s="167" t="inlineStr">
        <is>
          <t>Derived via controls</t>
        </is>
      </c>
    </row>
    <row r="37">
      <c r="A37" s="6" t="inlineStr">
        <is>
          <t>MITRE ATLAS technique</t>
        </is>
      </c>
      <c r="B37" s="6" t="inlineStr">
        <is>
          <t>AML.T0015</t>
        </is>
      </c>
      <c r="C37" s="6" t="inlineStr">
        <is>
          <t>Evade AI Model</t>
        </is>
      </c>
      <c r="D37" s="6" t="inlineStr">
        <is>
          <t>AI-CTRL-028</t>
        </is>
      </c>
      <c r="E37" s="6" t="inlineStr">
        <is>
          <t>AI-R08</t>
        </is>
      </c>
      <c r="F37" s="6" t="inlineStr">
        <is>
          <t>Derived via controls</t>
        </is>
      </c>
    </row>
    <row r="38">
      <c r="A38" s="167" t="inlineStr">
        <is>
          <t>MITRE ATLAS technique</t>
        </is>
      </c>
      <c r="B38" s="167" t="inlineStr">
        <is>
          <t>AML.T0018</t>
        </is>
      </c>
      <c r="C38" s="167" t="inlineStr">
        <is>
          <t>Manipulate AI Model</t>
        </is>
      </c>
      <c r="D38" s="167" t="inlineStr">
        <is>
          <t>AI-CTRL-028, AI-CTRL-030</t>
        </is>
      </c>
      <c r="E38" s="167" t="inlineStr">
        <is>
          <t>AI-R08</t>
        </is>
      </c>
      <c r="F38" s="167" t="inlineStr">
        <is>
          <t>Derived via controls</t>
        </is>
      </c>
    </row>
    <row r="39">
      <c r="A39" s="6" t="inlineStr">
        <is>
          <t>MITRE ATLAS technique</t>
        </is>
      </c>
      <c r="B39" s="6" t="inlineStr">
        <is>
          <t>AML.T0020</t>
        </is>
      </c>
      <c r="C39" s="6" t="inlineStr">
        <is>
          <t>Training Data Poisoning</t>
        </is>
      </c>
      <c r="D39" s="6" t="inlineStr">
        <is>
          <t>AI-CTRL-029</t>
        </is>
      </c>
      <c r="E39" s="6" t="inlineStr">
        <is>
          <t>AI-R08</t>
        </is>
      </c>
      <c r="F39" s="6" t="inlineStr">
        <is>
          <t>Derived via controls</t>
        </is>
      </c>
    </row>
    <row r="40">
      <c r="A40" s="167" t="inlineStr">
        <is>
          <t>MITRE ATLAS technique</t>
        </is>
      </c>
      <c r="B40" s="167" t="inlineStr">
        <is>
          <t>AML.T0024</t>
        </is>
      </c>
      <c r="C40" s="167" t="inlineStr">
        <is>
          <t>Exfiltration via AI Inference API</t>
        </is>
      </c>
      <c r="D40" s="167" t="inlineStr">
        <is>
          <t>AI-CTRL-028</t>
        </is>
      </c>
      <c r="E40" s="167" t="inlineStr">
        <is>
          <t>AI-R08</t>
        </is>
      </c>
      <c r="F40" s="167" t="inlineStr">
        <is>
          <t>Derived via controls</t>
        </is>
      </c>
    </row>
    <row r="41">
      <c r="A41" s="6" t="inlineStr">
        <is>
          <t>MITRE ATLAS technique</t>
        </is>
      </c>
      <c r="B41" s="6" t="inlineStr">
        <is>
          <t>AML.T0025</t>
        </is>
      </c>
      <c r="C41" s="6" t="inlineStr">
        <is>
          <t>Exfiltration via Cyber Means</t>
        </is>
      </c>
      <c r="D41" s="6" t="inlineStr">
        <is>
          <t>AI-CTRL-017, AI-CTRL-032</t>
        </is>
      </c>
      <c r="E41" s="6" t="inlineStr">
        <is>
          <t>AI-R01, AI-R03, AI-R06, AI-R08, AI-R10, AI-R17</t>
        </is>
      </c>
      <c r="F41" s="6" t="inlineStr">
        <is>
          <t>Derived via controls</t>
        </is>
      </c>
    </row>
    <row r="42">
      <c r="A42" s="167" t="inlineStr">
        <is>
          <t>MITRE ATLAS technique</t>
        </is>
      </c>
      <c r="B42" s="167" t="inlineStr">
        <is>
          <t>AML.T0029</t>
        </is>
      </c>
      <c r="C42" s="167" t="inlineStr">
        <is>
          <t>Denial of AI Service</t>
        </is>
      </c>
      <c r="D42" s="167" t="inlineStr">
        <is>
          <t>AI-CTRL-036, AI-CTRL-040</t>
        </is>
      </c>
      <c r="E42" s="167" t="inlineStr">
        <is>
          <t>AI-R11, AI-R13, AI-R16</t>
        </is>
      </c>
      <c r="F42" s="167" t="inlineStr">
        <is>
          <t>Derived via controls</t>
        </is>
      </c>
    </row>
    <row r="43">
      <c r="A43" s="6" t="inlineStr">
        <is>
          <t>MITRE ATLAS technique</t>
        </is>
      </c>
      <c r="B43" s="6" t="inlineStr">
        <is>
          <t>AML.T0034</t>
        </is>
      </c>
      <c r="C43" s="6" t="inlineStr">
        <is>
          <t>Cost Harvesting</t>
        </is>
      </c>
      <c r="D43" s="6" t="inlineStr">
        <is>
          <t>AI-CTRL-025, AI-CTRL-036</t>
        </is>
      </c>
      <c r="E43" s="6" t="inlineStr">
        <is>
          <t>AI-R07, AI-R11, AI-R21, AI-R25, AI-R55</t>
        </is>
      </c>
      <c r="F43" s="6" t="inlineStr">
        <is>
          <t>Derived via controls</t>
        </is>
      </c>
    </row>
    <row r="44">
      <c r="A44" s="167" t="inlineStr">
        <is>
          <t>MITRE ATLAS technique</t>
        </is>
      </c>
      <c r="B44" s="167" t="inlineStr">
        <is>
          <t>AML.T0043</t>
        </is>
      </c>
      <c r="C44" s="167" t="inlineStr">
        <is>
          <t>Craft Adversarial Data</t>
        </is>
      </c>
      <c r="D44" s="167" t="inlineStr">
        <is>
          <t>AI-CTRL-028</t>
        </is>
      </c>
      <c r="E44" s="167" t="inlineStr">
        <is>
          <t>AI-R08</t>
        </is>
      </c>
      <c r="F44" s="167" t="inlineStr">
        <is>
          <t>Derived via controls</t>
        </is>
      </c>
    </row>
    <row r="45">
      <c r="A45" s="6" t="inlineStr">
        <is>
          <t>MITRE ATLAS technique</t>
        </is>
      </c>
      <c r="B45" s="6" t="inlineStr">
        <is>
          <t>AML.T0044</t>
        </is>
      </c>
      <c r="C45" s="6" t="inlineStr">
        <is>
          <t>Full AI Model Access</t>
        </is>
      </c>
      <c r="D45" s="6" t="inlineStr">
        <is>
          <t>AI-CTRL-028</t>
        </is>
      </c>
      <c r="E45" s="6" t="inlineStr">
        <is>
          <t>AI-R08</t>
        </is>
      </c>
      <c r="F45" s="6" t="inlineStr">
        <is>
          <t>Derived via controls</t>
        </is>
      </c>
    </row>
    <row r="46">
      <c r="A46" s="167" t="inlineStr">
        <is>
          <t>MITRE ATLAS technique</t>
        </is>
      </c>
      <c r="B46" s="167" t="inlineStr">
        <is>
          <t>AML.T0046</t>
        </is>
      </c>
      <c r="C46" s="167" t="inlineStr">
        <is>
          <t>Spamming AI System with Chaff Data</t>
        </is>
      </c>
      <c r="D46" s="167" t="inlineStr">
        <is>
          <t>AI-CTRL-036</t>
        </is>
      </c>
      <c r="E46" s="167" t="inlineStr">
        <is>
          <t>AI-R11</t>
        </is>
      </c>
      <c r="F46" s="167" t="inlineStr">
        <is>
          <t>Derived via controls</t>
        </is>
      </c>
    </row>
    <row r="47">
      <c r="A47" s="6" t="inlineStr">
        <is>
          <t>MITRE ATLAS technique</t>
        </is>
      </c>
      <c r="B47" s="6" t="inlineStr">
        <is>
          <t>AML.T0048</t>
        </is>
      </c>
      <c r="C47" s="6" t="inlineStr">
        <is>
          <t>External Harms</t>
        </is>
      </c>
      <c r="D47" s="6" t="inlineStr">
        <is>
          <t>AI-CTRL-039</t>
        </is>
      </c>
      <c r="E47" s="6" t="inlineStr">
        <is>
          <t>AI-R12, AI-R14, AI-R20</t>
        </is>
      </c>
      <c r="F47" s="6" t="inlineStr">
        <is>
          <t>Derived via controls</t>
        </is>
      </c>
    </row>
    <row r="48">
      <c r="A48" s="167" t="inlineStr">
        <is>
          <t>MITRE ATLAS technique</t>
        </is>
      </c>
      <c r="B48" s="167" t="inlineStr">
        <is>
          <t>AML.T0049</t>
        </is>
      </c>
      <c r="C48" s="167" t="inlineStr">
        <is>
          <t>Exploit Public-Facing Application</t>
        </is>
      </c>
      <c r="D48" s="167" t="inlineStr">
        <is>
          <t>AI-CTRL-032</t>
        </is>
      </c>
      <c r="E48" s="167" t="inlineStr">
        <is>
          <t>AI-R08, AI-R10</t>
        </is>
      </c>
      <c r="F48" s="167" t="inlineStr">
        <is>
          <t>Derived via controls</t>
        </is>
      </c>
    </row>
    <row r="49">
      <c r="A49" s="6" t="inlineStr">
        <is>
          <t>MITRE ATLAS technique</t>
        </is>
      </c>
      <c r="B49" s="6" t="inlineStr">
        <is>
          <t>AML.T0050</t>
        </is>
      </c>
      <c r="C49" s="6" t="inlineStr">
        <is>
          <t>Command and Scripting Interpreter</t>
        </is>
      </c>
      <c r="D49" s="6" t="inlineStr">
        <is>
          <t>AI-CTRL-027</t>
        </is>
      </c>
      <c r="E49" s="6" t="inlineStr">
        <is>
          <t>AI-R07, AI-R21, AI-R22, AI-R25, AI-R55</t>
        </is>
      </c>
      <c r="F49" s="6" t="inlineStr">
        <is>
          <t>Derived via controls</t>
        </is>
      </c>
    </row>
    <row r="50">
      <c r="A50" s="167" t="inlineStr">
        <is>
          <t>MITRE ATLAS technique</t>
        </is>
      </c>
      <c r="B50" s="167" t="inlineStr">
        <is>
          <t>AML.T0051</t>
        </is>
      </c>
      <c r="C50" s="167" t="inlineStr">
        <is>
          <t>LLM Prompt Injection</t>
        </is>
      </c>
      <c r="D50" s="167" t="inlineStr">
        <is>
          <t>AI-CTRL-005, AI-CTRL-021</t>
        </is>
      </c>
      <c r="E50" s="167" t="inlineStr">
        <is>
          <t>AI-R03, AI-R05, AI-R06, AI-R24</t>
        </is>
      </c>
      <c r="F50" s="167" t="inlineStr">
        <is>
          <t>Derived via controls</t>
        </is>
      </c>
    </row>
    <row r="51">
      <c r="A51" s="6" t="inlineStr">
        <is>
          <t>MITRE ATLAS technique</t>
        </is>
      </c>
      <c r="B51" s="6" t="inlineStr">
        <is>
          <t>AML.T0053</t>
        </is>
      </c>
      <c r="C51" s="6" t="inlineStr">
        <is>
          <t>AI Agent Tool Invocation</t>
        </is>
      </c>
      <c r="D51" s="6" t="inlineStr">
        <is>
          <t>AI-CTRL-022, AI-CTRL-023, AI-CTRL-025</t>
        </is>
      </c>
      <c r="E51" s="6" t="inlineStr">
        <is>
          <t>AI-R07, AI-R11, AI-R19, AI-R21, AI-R24, AI-R25, AI-R55</t>
        </is>
      </c>
      <c r="F51" s="6" t="inlineStr">
        <is>
          <t>Derived via controls</t>
        </is>
      </c>
    </row>
    <row r="52">
      <c r="A52" s="167" t="inlineStr">
        <is>
          <t>MITRE ATLAS technique</t>
        </is>
      </c>
      <c r="B52" s="167" t="inlineStr">
        <is>
          <t>AML.T0054</t>
        </is>
      </c>
      <c r="C52" s="167" t="inlineStr">
        <is>
          <t>LLM Jailbreak</t>
        </is>
      </c>
      <c r="D52" s="167" t="inlineStr">
        <is>
          <t>AI-CTRL-005</t>
        </is>
      </c>
      <c r="E52" s="167" t="inlineStr">
        <is>
          <t>AI-R05, AI-R06, AI-R24</t>
        </is>
      </c>
      <c r="F52" s="167" t="inlineStr">
        <is>
          <t>Derived via controls</t>
        </is>
      </c>
    </row>
    <row r="53">
      <c r="A53" s="6" t="inlineStr">
        <is>
          <t>MITRE ATLAS technique</t>
        </is>
      </c>
      <c r="B53" s="6" t="inlineStr">
        <is>
          <t>AML.T0055</t>
        </is>
      </c>
      <c r="C53" s="6" t="inlineStr">
        <is>
          <t>Unsecured Credentials</t>
        </is>
      </c>
      <c r="D53" s="6" t="inlineStr">
        <is>
          <t>AI-CTRL-004, AI-CTRL-016, AI-CTRL-032</t>
        </is>
      </c>
      <c r="E53" s="6" t="inlineStr">
        <is>
          <t>AI-R04, AI-R06, AI-R07, AI-R08, AI-R10, AI-R22</t>
        </is>
      </c>
      <c r="F53" s="6" t="inlineStr">
        <is>
          <t>Derived via controls</t>
        </is>
      </c>
    </row>
    <row r="54">
      <c r="A54" s="167" t="inlineStr">
        <is>
          <t>MITRE ATLAS technique</t>
        </is>
      </c>
      <c r="B54" s="167" t="inlineStr">
        <is>
          <t>AML.T0056</t>
        </is>
      </c>
      <c r="C54" s="167" t="inlineStr">
        <is>
          <t>Extract LLM System Prompt</t>
        </is>
      </c>
      <c r="D54" s="167" t="inlineStr">
        <is>
          <t>AI-CTRL-005</t>
        </is>
      </c>
      <c r="E54" s="167" t="inlineStr">
        <is>
          <t>AI-R05, AI-R06, AI-R24</t>
        </is>
      </c>
      <c r="F54" s="167" t="inlineStr">
        <is>
          <t>Derived via controls</t>
        </is>
      </c>
    </row>
    <row r="55">
      <c r="A55" s="6" t="inlineStr">
        <is>
          <t>MITRE ATLAS technique</t>
        </is>
      </c>
      <c r="B55" s="6" t="inlineStr">
        <is>
          <t>AML.T0057</t>
        </is>
      </c>
      <c r="C55" s="6" t="inlineStr">
        <is>
          <t>LLM Data Leakage</t>
        </is>
      </c>
      <c r="D55" s="6" t="inlineStr">
        <is>
          <t>AI-CTRL-002, AI-CTRL-003, AI-CTRL-004, AI-CTRL-010, AI-CTRL-013, AI-CTRL-017, AI-CTRL-018, AI-CTRL-020</t>
        </is>
      </c>
      <c r="E55" s="6" t="inlineStr">
        <is>
          <t>AI-R01, AI-R02, AI-R03, AI-R04, AI-R05, AI-R06, AI-R10, AI-R17, AI-R22, AI-R24, AI-R26, AI-R27, AI-R28</t>
        </is>
      </c>
      <c r="F55" s="6" t="inlineStr">
        <is>
          <t>Derived via controls</t>
        </is>
      </c>
    </row>
    <row r="56">
      <c r="A56" s="167" t="inlineStr">
        <is>
          <t>MITRE ATLAS technique</t>
        </is>
      </c>
      <c r="B56" s="167" t="inlineStr">
        <is>
          <t>AML.T0059</t>
        </is>
      </c>
      <c r="C56" s="167" t="inlineStr">
        <is>
          <t>Erode Dataset Integrity</t>
        </is>
      </c>
      <c r="D56" s="167" t="inlineStr">
        <is>
          <t>AI-CTRL-029</t>
        </is>
      </c>
      <c r="E56" s="167" t="inlineStr">
        <is>
          <t>AI-R08</t>
        </is>
      </c>
      <c r="F56" s="167" t="inlineStr">
        <is>
          <t>Derived via controls</t>
        </is>
      </c>
    </row>
    <row r="57">
      <c r="A57" s="6" t="inlineStr">
        <is>
          <t>MITRE ATLAS technique</t>
        </is>
      </c>
      <c r="B57" s="6" t="inlineStr">
        <is>
          <t>AML.T0060</t>
        </is>
      </c>
      <c r="C57" s="6" t="inlineStr">
        <is>
          <t>Publish Hallucinated Entities</t>
        </is>
      </c>
      <c r="D57" s="6" t="inlineStr">
        <is>
          <t>AI-CTRL-039</t>
        </is>
      </c>
      <c r="E57" s="6" t="inlineStr">
        <is>
          <t>AI-R12, AI-R14, AI-R20</t>
        </is>
      </c>
      <c r="F57" s="6" t="inlineStr">
        <is>
          <t>Derived via controls</t>
        </is>
      </c>
    </row>
    <row r="58">
      <c r="A58" s="167" t="inlineStr">
        <is>
          <t>MITRE ATLAS technique</t>
        </is>
      </c>
      <c r="B58" s="167" t="inlineStr">
        <is>
          <t>AML.T0062</t>
        </is>
      </c>
      <c r="C58" s="167" t="inlineStr">
        <is>
          <t>Discover LLM Hallucinations</t>
        </is>
      </c>
      <c r="D58" s="167" t="inlineStr">
        <is>
          <t>AI-CTRL-039</t>
        </is>
      </c>
      <c r="E58" s="167" t="inlineStr">
        <is>
          <t>AI-R12, AI-R14, AI-R20</t>
        </is>
      </c>
      <c r="F58" s="167" t="inlineStr">
        <is>
          <t>Derived via controls</t>
        </is>
      </c>
    </row>
    <row r="59">
      <c r="A59" s="6" t="inlineStr">
        <is>
          <t>MITRE ATLAS technique</t>
        </is>
      </c>
      <c r="B59" s="6" t="inlineStr">
        <is>
          <t>AML.T0064</t>
        </is>
      </c>
      <c r="C59" s="6" t="inlineStr">
        <is>
          <t>Gather RAG-Indexed Targets</t>
        </is>
      </c>
      <c r="D59" s="6" t="inlineStr">
        <is>
          <t>AI-CTRL-018</t>
        </is>
      </c>
      <c r="E59" s="6" t="inlineStr">
        <is>
          <t>AI-R06</t>
        </is>
      </c>
      <c r="F59" s="6" t="inlineStr">
        <is>
          <t>Derived via controls</t>
        </is>
      </c>
    </row>
    <row r="60">
      <c r="A60" s="167" t="inlineStr">
        <is>
          <t>MITRE ATLAS technique</t>
        </is>
      </c>
      <c r="B60" s="167" t="inlineStr">
        <is>
          <t>AML.T0066</t>
        </is>
      </c>
      <c r="C60" s="167" t="inlineStr">
        <is>
          <t>Retrieval Content Crafting</t>
        </is>
      </c>
      <c r="D60" s="167" t="inlineStr">
        <is>
          <t>AI-CTRL-019</t>
        </is>
      </c>
      <c r="E60" s="167" t="inlineStr">
        <is>
          <t>AI-R05, AI-R08, AI-R17</t>
        </is>
      </c>
      <c r="F60" s="167" t="inlineStr">
        <is>
          <t>Derived via controls</t>
        </is>
      </c>
    </row>
    <row r="61">
      <c r="A61" s="6" t="inlineStr">
        <is>
          <t>MITRE ATLAS technique</t>
        </is>
      </c>
      <c r="B61" s="6" t="inlineStr">
        <is>
          <t>AML.T0067</t>
        </is>
      </c>
      <c r="C61" s="6" t="inlineStr">
        <is>
          <t>LLM Trusted Output Components Manipulation</t>
        </is>
      </c>
      <c r="D61" s="6" t="inlineStr">
        <is>
          <t>AI-CTRL-020</t>
        </is>
      </c>
      <c r="E61" s="6" t="inlineStr">
        <is>
          <t>AI-R05, AI-R06, AI-R24, AI-R26</t>
        </is>
      </c>
      <c r="F61" s="6" t="inlineStr">
        <is>
          <t>Derived via controls</t>
        </is>
      </c>
    </row>
    <row r="62">
      <c r="A62" s="167" t="inlineStr">
        <is>
          <t>MITRE ATLAS technique</t>
        </is>
      </c>
      <c r="B62" s="167" t="inlineStr">
        <is>
          <t>AML.T0068</t>
        </is>
      </c>
      <c r="C62" s="167" t="inlineStr">
        <is>
          <t>LLM Prompt Obfuscation</t>
        </is>
      </c>
      <c r="D62" s="167" t="inlineStr">
        <is>
          <t>AI-CTRL-005</t>
        </is>
      </c>
      <c r="E62" s="167" t="inlineStr">
        <is>
          <t>AI-R05, AI-R06, AI-R24</t>
        </is>
      </c>
      <c r="F62" s="167" t="inlineStr">
        <is>
          <t>Derived via controls</t>
        </is>
      </c>
    </row>
    <row r="63">
      <c r="A63" s="6" t="inlineStr">
        <is>
          <t>MITRE ATLAS technique</t>
        </is>
      </c>
      <c r="B63" s="6" t="inlineStr">
        <is>
          <t>AML.T0070</t>
        </is>
      </c>
      <c r="C63" s="6" t="inlineStr">
        <is>
          <t>RAG Poisoning</t>
        </is>
      </c>
      <c r="D63" s="6" t="inlineStr">
        <is>
          <t>AI-CTRL-019</t>
        </is>
      </c>
      <c r="E63" s="6" t="inlineStr">
        <is>
          <t>AI-R05, AI-R08, AI-R17</t>
        </is>
      </c>
      <c r="F63" s="6" t="inlineStr">
        <is>
          <t>Derived via controls</t>
        </is>
      </c>
    </row>
    <row r="64">
      <c r="A64" s="167" t="inlineStr">
        <is>
          <t>MITRE ATLAS technique</t>
        </is>
      </c>
      <c r="B64" s="167" t="inlineStr">
        <is>
          <t>AML.T0071</t>
        </is>
      </c>
      <c r="C64" s="167" t="inlineStr">
        <is>
          <t>False RAG Entry Injection</t>
        </is>
      </c>
      <c r="D64" s="167" t="inlineStr">
        <is>
          <t>AI-CTRL-019</t>
        </is>
      </c>
      <c r="E64" s="167" t="inlineStr">
        <is>
          <t>AI-R05, AI-R08, AI-R17</t>
        </is>
      </c>
      <c r="F64" s="167" t="inlineStr">
        <is>
          <t>Derived via controls</t>
        </is>
      </c>
    </row>
    <row r="65">
      <c r="A65" s="6" t="inlineStr">
        <is>
          <t>MITRE ATLAS technique</t>
        </is>
      </c>
      <c r="B65" s="6" t="inlineStr">
        <is>
          <t>AML.T0073</t>
        </is>
      </c>
      <c r="C65" s="6" t="inlineStr">
        <is>
          <t>Impersonation</t>
        </is>
      </c>
      <c r="D65" s="6" t="inlineStr">
        <is>
          <t>AI-CTRL-015</t>
        </is>
      </c>
      <c r="E65" s="6" t="inlineStr">
        <is>
          <t>AI-R07, AI-R22, AI-R25</t>
        </is>
      </c>
      <c r="F65" s="6" t="inlineStr">
        <is>
          <t>Derived via controls</t>
        </is>
      </c>
    </row>
    <row r="66">
      <c r="A66" s="167" t="inlineStr">
        <is>
          <t>MITRE ATLAS technique</t>
        </is>
      </c>
      <c r="B66" s="167" t="inlineStr">
        <is>
          <t>AML.T0077</t>
        </is>
      </c>
      <c r="C66" s="167" t="inlineStr">
        <is>
          <t>LLM Response Rendering</t>
        </is>
      </c>
      <c r="D66" s="167" t="inlineStr">
        <is>
          <t>AI-CTRL-020</t>
        </is>
      </c>
      <c r="E66" s="167" t="inlineStr">
        <is>
          <t>AI-R05, AI-R06, AI-R24, AI-R26</t>
        </is>
      </c>
      <c r="F66" s="167" t="inlineStr">
        <is>
          <t>Derived via controls</t>
        </is>
      </c>
    </row>
    <row r="67">
      <c r="A67" s="6" t="inlineStr">
        <is>
          <t>MITRE ATLAS technique</t>
        </is>
      </c>
      <c r="B67" s="6" t="inlineStr">
        <is>
          <t>AML.T0080</t>
        </is>
      </c>
      <c r="C67" s="6" t="inlineStr">
        <is>
          <t>AI Agent Context Poisoning</t>
        </is>
      </c>
      <c r="D67" s="6" t="inlineStr">
        <is>
          <t>AI-CTRL-026</t>
        </is>
      </c>
      <c r="E67" s="6" t="inlineStr">
        <is>
          <t>AI-R05, AI-R07, AI-R21</t>
        </is>
      </c>
      <c r="F67" s="6" t="inlineStr">
        <is>
          <t>Derived via controls</t>
        </is>
      </c>
    </row>
    <row r="68">
      <c r="A68" s="167" t="inlineStr">
        <is>
          <t>MITRE ATLAS technique</t>
        </is>
      </c>
      <c r="B68" s="167" t="inlineStr">
        <is>
          <t>AML.T0081</t>
        </is>
      </c>
      <c r="C68" s="167" t="inlineStr">
        <is>
          <t>Modify AI Agent Configuration</t>
        </is>
      </c>
      <c r="D68" s="167" t="inlineStr">
        <is>
          <t>AI-CTRL-006</t>
        </is>
      </c>
      <c r="E68" s="167" t="inlineStr">
        <is>
          <t>AI-R07, AI-R25</t>
        </is>
      </c>
      <c r="F68" s="167" t="inlineStr">
        <is>
          <t>Derived via controls</t>
        </is>
      </c>
    </row>
    <row r="69">
      <c r="A69" s="6" t="inlineStr">
        <is>
          <t>MITRE ATLAS technique</t>
        </is>
      </c>
      <c r="B69" s="6" t="inlineStr">
        <is>
          <t>AML.T0082</t>
        </is>
      </c>
      <c r="C69" s="6" t="inlineStr">
        <is>
          <t>RAG Credential Harvesting</t>
        </is>
      </c>
      <c r="D69" s="6" t="inlineStr">
        <is>
          <t>AI-CTRL-018</t>
        </is>
      </c>
      <c r="E69" s="6" t="inlineStr">
        <is>
          <t>AI-R06</t>
        </is>
      </c>
      <c r="F69" s="6" t="inlineStr">
        <is>
          <t>Derived via controls</t>
        </is>
      </c>
    </row>
    <row r="70">
      <c r="A70" s="167" t="inlineStr">
        <is>
          <t>MITRE ATLAS technique</t>
        </is>
      </c>
      <c r="B70" s="167" t="inlineStr">
        <is>
          <t>AML.T0083</t>
        </is>
      </c>
      <c r="C70" s="167" t="inlineStr">
        <is>
          <t>Credentials from AI Agent Configuration</t>
        </is>
      </c>
      <c r="D70" s="167" t="inlineStr">
        <is>
          <t>AI-CTRL-016</t>
        </is>
      </c>
      <c r="E70" s="167" t="inlineStr">
        <is>
          <t>AI-R06, AI-R07, AI-R08, AI-R22</t>
        </is>
      </c>
      <c r="F70" s="167" t="inlineStr">
        <is>
          <t>Derived via controls</t>
        </is>
      </c>
    </row>
    <row r="71">
      <c r="A71" s="6" t="inlineStr">
        <is>
          <t>MITRE ATLAS technique</t>
        </is>
      </c>
      <c r="B71" s="6" t="inlineStr">
        <is>
          <t>AML.T0085</t>
        </is>
      </c>
      <c r="C71" s="6" t="inlineStr">
        <is>
          <t>Data from AI Services</t>
        </is>
      </c>
      <c r="D71" s="6" t="inlineStr">
        <is>
          <t>AI-CTRL-017, AI-CTRL-018</t>
        </is>
      </c>
      <c r="E71" s="6" t="inlineStr">
        <is>
          <t>AI-R01, AI-R03, AI-R06, AI-R17</t>
        </is>
      </c>
      <c r="F71" s="6" t="inlineStr">
        <is>
          <t>Derived via controls</t>
        </is>
      </c>
    </row>
    <row r="72">
      <c r="A72" s="167" t="inlineStr">
        <is>
          <t>MITRE ATLAS technique</t>
        </is>
      </c>
      <c r="B72" s="167" t="inlineStr">
        <is>
          <t>AML.T0086</t>
        </is>
      </c>
      <c r="C72" s="167" t="inlineStr">
        <is>
          <t>Exfiltration via AI Agent Tool Invocation</t>
        </is>
      </c>
      <c r="D72" s="167" t="inlineStr">
        <is>
          <t>AI-CTRL-022</t>
        </is>
      </c>
      <c r="E72" s="167" t="inlineStr">
        <is>
          <t>AI-R07, AI-R24</t>
        </is>
      </c>
      <c r="F72" s="167" t="inlineStr">
        <is>
          <t>Derived via controls</t>
        </is>
      </c>
    </row>
    <row r="73">
      <c r="A73" s="6" t="inlineStr">
        <is>
          <t>MITRE ATLAS technique</t>
        </is>
      </c>
      <c r="B73" s="6" t="inlineStr">
        <is>
          <t>AML.T0088</t>
        </is>
      </c>
      <c r="C73" s="6" t="inlineStr">
        <is>
          <t>Generate Deepfakes</t>
        </is>
      </c>
      <c r="D73" s="6" t="inlineStr">
        <is>
          <t>AI-CTRL-021</t>
        </is>
      </c>
      <c r="E73" s="6" t="inlineStr">
        <is>
          <t>AI-R03, AI-R05</t>
        </is>
      </c>
      <c r="F73" s="6" t="inlineStr">
        <is>
          <t>Derived via controls</t>
        </is>
      </c>
    </row>
    <row r="74">
      <c r="A74" s="167" t="inlineStr">
        <is>
          <t>MITRE ATLAS technique</t>
        </is>
      </c>
      <c r="B74" s="167" t="inlineStr">
        <is>
          <t>AML.T0091</t>
        </is>
      </c>
      <c r="C74" s="167" t="inlineStr">
        <is>
          <t>Use Alternate Authentication Material</t>
        </is>
      </c>
      <c r="D74" s="167" t="inlineStr">
        <is>
          <t>AI-CTRL-015</t>
        </is>
      </c>
      <c r="E74" s="167" t="inlineStr">
        <is>
          <t>AI-R07, AI-R22, AI-R25</t>
        </is>
      </c>
      <c r="F74" s="167" t="inlineStr">
        <is>
          <t>Derived via controls</t>
        </is>
      </c>
    </row>
    <row r="75">
      <c r="A75" s="6" t="inlineStr">
        <is>
          <t>MITRE ATLAS technique</t>
        </is>
      </c>
      <c r="B75" s="6" t="inlineStr">
        <is>
          <t>AML.T0092</t>
        </is>
      </c>
      <c r="C75" s="6" t="inlineStr">
        <is>
          <t>Manipulate User LLM Chat History</t>
        </is>
      </c>
      <c r="D75" s="6" t="inlineStr">
        <is>
          <t>AI-CTRL-026</t>
        </is>
      </c>
      <c r="E75" s="6" t="inlineStr">
        <is>
          <t>AI-R05, AI-R07, AI-R21</t>
        </is>
      </c>
      <c r="F75" s="6" t="inlineStr">
        <is>
          <t>Derived via controls</t>
        </is>
      </c>
    </row>
    <row r="76">
      <c r="A76" s="167" t="inlineStr">
        <is>
          <t>MITRE ATLAS technique</t>
        </is>
      </c>
      <c r="B76" s="167" t="inlineStr">
        <is>
          <t>AML.T0093</t>
        </is>
      </c>
      <c r="C76" s="167" t="inlineStr">
        <is>
          <t>Prompt Infiltration via Public-Facing Application</t>
        </is>
      </c>
      <c r="D76" s="167" t="inlineStr">
        <is>
          <t>AI-CTRL-005</t>
        </is>
      </c>
      <c r="E76" s="167" t="inlineStr">
        <is>
          <t>AI-R05, AI-R06, AI-R24</t>
        </is>
      </c>
      <c r="F76" s="167" t="inlineStr">
        <is>
          <t>Derived via controls</t>
        </is>
      </c>
    </row>
    <row r="77">
      <c r="A77" s="6" t="inlineStr">
        <is>
          <t>MITRE ATLAS technique</t>
        </is>
      </c>
      <c r="B77" s="6" t="inlineStr">
        <is>
          <t>AML.T0094</t>
        </is>
      </c>
      <c r="C77" s="6" t="inlineStr">
        <is>
          <t>Delay Execution of LLM Instructions</t>
        </is>
      </c>
      <c r="D77" s="6" t="inlineStr">
        <is>
          <t>AI-CTRL-026</t>
        </is>
      </c>
      <c r="E77" s="6" t="inlineStr">
        <is>
          <t>AI-R05, AI-R07, AI-R21</t>
        </is>
      </c>
      <c r="F77" s="6" t="inlineStr">
        <is>
          <t>Derived via controls</t>
        </is>
      </c>
    </row>
    <row r="78">
      <c r="A78" s="167" t="inlineStr">
        <is>
          <t>MITRE ATLAS technique</t>
        </is>
      </c>
      <c r="B78" s="167" t="inlineStr">
        <is>
          <t>AML.T0098</t>
        </is>
      </c>
      <c r="C78" s="167" t="inlineStr">
        <is>
          <t>AI Agent Tool Credential Harvesting</t>
        </is>
      </c>
      <c r="D78" s="167" t="inlineStr">
        <is>
          <t>AI-CTRL-016</t>
        </is>
      </c>
      <c r="E78" s="167" t="inlineStr">
        <is>
          <t>AI-R06, AI-R07, AI-R08, AI-R22</t>
        </is>
      </c>
      <c r="F78" s="167" t="inlineStr">
        <is>
          <t>Derived via controls</t>
        </is>
      </c>
    </row>
    <row r="79">
      <c r="A79" s="6" t="inlineStr">
        <is>
          <t>MITRE ATLAS technique</t>
        </is>
      </c>
      <c r="B79" s="6" t="inlineStr">
        <is>
          <t>AML.T0099</t>
        </is>
      </c>
      <c r="C79" s="6" t="inlineStr">
        <is>
          <t>AI Agent Tool Data Poisoning</t>
        </is>
      </c>
      <c r="D79" s="6" t="inlineStr">
        <is>
          <t>AI-CTRL-024</t>
        </is>
      </c>
      <c r="E79" s="6" t="inlineStr">
        <is>
          <t>AI-R07, AI-R08, AI-R23, AI-R24</t>
        </is>
      </c>
      <c r="F79" s="6" t="inlineStr">
        <is>
          <t>Derived via controls</t>
        </is>
      </c>
    </row>
    <row r="80">
      <c r="A80" s="167" t="inlineStr">
        <is>
          <t>MITRE ATLAS technique</t>
        </is>
      </c>
      <c r="B80" s="167" t="inlineStr">
        <is>
          <t>AML.T0101</t>
        </is>
      </c>
      <c r="C80" s="167" t="inlineStr">
        <is>
          <t>Data Destruction via AI Agent Tool Invocation</t>
        </is>
      </c>
      <c r="D80" s="167" t="inlineStr">
        <is>
          <t>AI-CTRL-022, AI-CTRL-023</t>
        </is>
      </c>
      <c r="E80" s="167" t="inlineStr">
        <is>
          <t>AI-R07, AI-R19, AI-R24</t>
        </is>
      </c>
      <c r="F80" s="167" t="inlineStr">
        <is>
          <t>Derived via controls</t>
        </is>
      </c>
    </row>
    <row r="81">
      <c r="A81" s="6" t="inlineStr">
        <is>
          <t>MITRE ATLAS technique</t>
        </is>
      </c>
      <c r="B81" s="6" t="inlineStr">
        <is>
          <t>AML.T0102</t>
        </is>
      </c>
      <c r="C81" s="6" t="inlineStr">
        <is>
          <t>Generate Malicious Commands</t>
        </is>
      </c>
      <c r="D81" s="6" t="inlineStr">
        <is>
          <t>AI-CTRL-027</t>
        </is>
      </c>
      <c r="E81" s="6" t="inlineStr">
        <is>
          <t>AI-R07, AI-R21, AI-R22, AI-R25, AI-R55</t>
        </is>
      </c>
      <c r="F81" s="6" t="inlineStr">
        <is>
          <t>Derived via controls</t>
        </is>
      </c>
    </row>
    <row r="82">
      <c r="A82" s="167" t="inlineStr">
        <is>
          <t>MITRE ATLAS technique</t>
        </is>
      </c>
      <c r="B82" s="167" t="inlineStr">
        <is>
          <t>AML.T0105</t>
        </is>
      </c>
      <c r="C82" s="167" t="inlineStr">
        <is>
          <t>Escape to Host</t>
        </is>
      </c>
      <c r="D82" s="167" t="inlineStr">
        <is>
          <t>AI-CTRL-027</t>
        </is>
      </c>
      <c r="E82" s="167" t="inlineStr">
        <is>
          <t>AI-R07, AI-R21, AI-R22, AI-R25, AI-R55</t>
        </is>
      </c>
      <c r="F82" s="167" t="inlineStr">
        <is>
          <t>Derived via controls</t>
        </is>
      </c>
    </row>
    <row r="83">
      <c r="A83" s="6" t="inlineStr">
        <is>
          <t>MITRE ATLAS technique</t>
        </is>
      </c>
      <c r="B83" s="6" t="inlineStr">
        <is>
          <t>AML.T0109</t>
        </is>
      </c>
      <c r="C83" s="6" t="inlineStr">
        <is>
          <t>AI Supply Chain Rug Pull</t>
        </is>
      </c>
      <c r="D83" s="6" t="inlineStr">
        <is>
          <t>AI-CTRL-014, AI-CTRL-024, AI-CTRL-031</t>
        </is>
      </c>
      <c r="E83" s="6" t="inlineStr">
        <is>
          <t>AI-R07, AI-R08, AI-R10, AI-R16, AI-R23, AI-R24</t>
        </is>
      </c>
      <c r="F83" s="6" t="inlineStr">
        <is>
          <t>Derived via controls</t>
        </is>
      </c>
    </row>
    <row r="84">
      <c r="A84" s="167" t="inlineStr">
        <is>
          <t>MITRE ATLAS technique</t>
        </is>
      </c>
      <c r="B84" s="167" t="inlineStr">
        <is>
          <t>AML.T0110</t>
        </is>
      </c>
      <c r="C84" s="167" t="inlineStr">
        <is>
          <t>AI Agent Tool Poisoning</t>
        </is>
      </c>
      <c r="D84" s="167" t="inlineStr">
        <is>
          <t>AI-CTRL-024</t>
        </is>
      </c>
      <c r="E84" s="167" t="inlineStr">
        <is>
          <t>AI-R07, AI-R08, AI-R23, AI-R24</t>
        </is>
      </c>
      <c r="F84" s="167" t="inlineStr">
        <is>
          <t>Derived via controls</t>
        </is>
      </c>
    </row>
    <row r="85">
      <c r="A85" s="6" t="inlineStr">
        <is>
          <t>MITRE ATLAS technique</t>
        </is>
      </c>
      <c r="B85" s="6" t="inlineStr">
        <is>
          <t>AML.T0111</t>
        </is>
      </c>
      <c r="C85" s="6" t="inlineStr">
        <is>
          <t>AI Supply Chain Reputation Inflation</t>
        </is>
      </c>
      <c r="D85" s="6" t="inlineStr">
        <is>
          <t>AI-CTRL-031</t>
        </is>
      </c>
      <c r="E85" s="6" t="inlineStr">
        <is>
          <t>AI-R08, AI-R16, AI-R23</t>
        </is>
      </c>
      <c r="F85" s="6" t="inlineStr">
        <is>
          <t>Derived via controls</t>
        </is>
      </c>
    </row>
    <row r="86">
      <c r="A86" s="167" t="inlineStr">
        <is>
          <t>MITRE ATLAS technique</t>
        </is>
      </c>
      <c r="B86" s="167" t="inlineStr">
        <is>
          <t>AML.T0115</t>
        </is>
      </c>
      <c r="C86" s="167" t="inlineStr">
        <is>
          <t>Publish Poisoned AI Artifacts</t>
        </is>
      </c>
      <c r="D86" s="167" t="inlineStr">
        <is>
          <t>AI-CTRL-031</t>
        </is>
      </c>
      <c r="E86" s="167" t="inlineStr">
        <is>
          <t>AI-R08, AI-R16, AI-R23</t>
        </is>
      </c>
      <c r="F86" s="167" t="inlineStr">
        <is>
          <t>Derived via controls</t>
        </is>
      </c>
    </row>
    <row r="87">
      <c r="A87" s="6" t="inlineStr">
        <is>
          <t>MITRE ATLAS technique</t>
        </is>
      </c>
      <c r="B87" s="6" t="inlineStr">
        <is>
          <t>AML.T0119</t>
        </is>
      </c>
      <c r="C87" s="6" t="inlineStr">
        <is>
          <t>Exploit Automated Artifact Processing Pipeline</t>
        </is>
      </c>
      <c r="D87" s="6" t="inlineStr">
        <is>
          <t>AI-CTRL-030</t>
        </is>
      </c>
      <c r="E87" s="6" t="inlineStr">
        <is>
          <t>AI-R08</t>
        </is>
      </c>
      <c r="F87" s="6" t="inlineStr">
        <is>
          <t>Derived via controls</t>
        </is>
      </c>
    </row>
    <row r="88">
      <c r="A88" s="167" t="inlineStr">
        <is>
          <t>MITRE ATLAS technique</t>
        </is>
      </c>
      <c r="B88" s="167" t="inlineStr">
        <is>
          <t>AML.T0129</t>
        </is>
      </c>
      <c r="C88" s="167" t="inlineStr">
        <is>
          <t>Triggers in Multimodal Inputs</t>
        </is>
      </c>
      <c r="D88" s="167" t="inlineStr">
        <is>
          <t>AI-CTRL-021</t>
        </is>
      </c>
      <c r="E88" s="167" t="inlineStr">
        <is>
          <t>AI-R03, AI-R05</t>
        </is>
      </c>
      <c r="F88" s="167" t="inlineStr">
        <is>
          <t>Derived via controls</t>
        </is>
      </c>
    </row>
    <row r="89">
      <c r="A89" s="6" t="inlineStr">
        <is>
          <t>MITRE ATLAS technique</t>
        </is>
      </c>
      <c r="B89" s="6" t="inlineStr">
        <is>
          <t>AML.T0132</t>
        </is>
      </c>
      <c r="C89" s="6" t="inlineStr">
        <is>
          <t>Misconfigured or Publicly Exposed AI Services</t>
        </is>
      </c>
      <c r="D89" s="6" t="inlineStr">
        <is>
          <t>AI-CTRL-032</t>
        </is>
      </c>
      <c r="E89" s="6" t="inlineStr">
        <is>
          <t>AI-R08, AI-R10</t>
        </is>
      </c>
      <c r="F89" s="6" t="inlineStr">
        <is>
          <t>Derived via controls</t>
        </is>
      </c>
    </row>
    <row r="90">
      <c r="A90" s="167" t="inlineStr">
        <is>
          <t>NIST AI 600-1 GenAI risk</t>
        </is>
      </c>
      <c r="B90" s="167" t="inlineStr">
        <is>
          <t>1</t>
        </is>
      </c>
      <c r="C90" s="167" t="inlineStr">
        <is>
          <t>CBRN Information or Capabilities</t>
        </is>
      </c>
      <c r="D90" s="167" t="inlineStr">
        <is>
          <t>AI-CTRL-039</t>
        </is>
      </c>
      <c r="E90" s="167" t="inlineStr">
        <is>
          <t>AI-R12</t>
        </is>
      </c>
      <c r="F90" s="167" t="inlineStr">
        <is>
          <t>Wiki mapping (Partial)</t>
        </is>
      </c>
    </row>
    <row r="91">
      <c r="A91" s="6" t="inlineStr">
        <is>
          <t>NIST AI 600-1 GenAI risk</t>
        </is>
      </c>
      <c r="B91" s="6" t="inlineStr">
        <is>
          <t>2</t>
        </is>
      </c>
      <c r="C91" s="6" t="inlineStr">
        <is>
          <t>Confabulation</t>
        </is>
      </c>
      <c r="D91" s="6" t="inlineStr">
        <is>
          <t>AI-CTRL-039, AI-CTRL-045</t>
        </is>
      </c>
      <c r="E91" s="6" t="inlineStr">
        <is>
          <t>AI-R12</t>
        </is>
      </c>
      <c r="F91" s="6" t="inlineStr">
        <is>
          <t>Wiki mapping (Direct)</t>
        </is>
      </c>
    </row>
    <row r="92">
      <c r="A92" s="167" t="inlineStr">
        <is>
          <t>NIST AI 600-1 GenAI risk</t>
        </is>
      </c>
      <c r="B92" s="167" t="inlineStr">
        <is>
          <t>3</t>
        </is>
      </c>
      <c r="C92" s="167" t="inlineStr">
        <is>
          <t>Dangerous, Violent, or Hateful Content</t>
        </is>
      </c>
      <c r="D92" s="167" t="inlineStr">
        <is>
          <t>AI-CTRL-039, AI-CTRL-034</t>
        </is>
      </c>
      <c r="E92" s="167" t="inlineStr">
        <is>
          <t>AI-R12, AI-R20</t>
        </is>
      </c>
      <c r="F92" s="167" t="inlineStr">
        <is>
          <t>Wiki mapping (Partial)</t>
        </is>
      </c>
    </row>
    <row r="93">
      <c r="A93" s="6" t="inlineStr">
        <is>
          <t>NIST AI 600-1 GenAI risk</t>
        </is>
      </c>
      <c r="B93" s="6" t="inlineStr">
        <is>
          <t>4</t>
        </is>
      </c>
      <c r="C93" s="6" t="inlineStr">
        <is>
          <t>Data Privacy</t>
        </is>
      </c>
      <c r="D93" s="6" t="inlineStr">
        <is>
          <t>AI-CTRL-002, AI-CTRL-013, AI-CTRL-017, AI-CTRL-042</t>
        </is>
      </c>
      <c r="E93" s="6" t="inlineStr">
        <is>
          <t>AI-R03, AI-R06, AI-R10</t>
        </is>
      </c>
      <c r="F93" s="6" t="inlineStr">
        <is>
          <t>Wiki mapping (Direct)</t>
        </is>
      </c>
    </row>
    <row r="94">
      <c r="A94" s="167" t="inlineStr">
        <is>
          <t>NIST AI 600-1 GenAI risk</t>
        </is>
      </c>
      <c r="B94" s="167" t="inlineStr">
        <is>
          <t>5</t>
        </is>
      </c>
      <c r="C94" s="167" t="inlineStr">
        <is>
          <t>Environmental Impacts</t>
        </is>
      </c>
      <c r="D94" s="167" t="inlineStr">
        <is>
          <t>AI-CTRL-036</t>
        </is>
      </c>
      <c r="E94" s="167" t="inlineStr">
        <is>
          <t>AI-R35</t>
        </is>
      </c>
      <c r="F94" s="167" t="inlineStr">
        <is>
          <t>Wiki mapping (Partial)</t>
        </is>
      </c>
    </row>
    <row r="95">
      <c r="A95" s="6" t="inlineStr">
        <is>
          <t>NIST AI 600-1 GenAI risk</t>
        </is>
      </c>
      <c r="B95" s="6" t="inlineStr">
        <is>
          <t>6</t>
        </is>
      </c>
      <c r="C95" s="6" t="inlineStr">
        <is>
          <t>Harmful Bias or Homogenization</t>
        </is>
      </c>
      <c r="D95" s="6" t="inlineStr">
        <is>
          <t>AI-CTRL-041, AI-CTRL-034</t>
        </is>
      </c>
      <c r="E95" s="6" t="inlineStr">
        <is>
          <t>AI-R14, AI-R32</t>
        </is>
      </c>
      <c r="F95" s="6" t="inlineStr">
        <is>
          <t>Wiki mapping (Partial)</t>
        </is>
      </c>
    </row>
    <row r="96">
      <c r="A96" s="167" t="inlineStr">
        <is>
          <t>NIST AI 600-1 GenAI risk</t>
        </is>
      </c>
      <c r="B96" s="167" t="inlineStr">
        <is>
          <t>7</t>
        </is>
      </c>
      <c r="C96" s="167" t="inlineStr">
        <is>
          <t>Human-AI Configuration</t>
        </is>
      </c>
      <c r="D96" s="167" t="inlineStr">
        <is>
          <t>AI-CTRL-045, AI-CTRL-044, AI-CTRL-023</t>
        </is>
      </c>
      <c r="E96" s="167" t="inlineStr">
        <is>
          <t>AI-R19, AI-R42</t>
        </is>
      </c>
      <c r="F96" s="167" t="inlineStr">
        <is>
          <t>Wiki mapping (Partial)</t>
        </is>
      </c>
    </row>
    <row r="97">
      <c r="A97" s="6" t="inlineStr">
        <is>
          <t>NIST AI 600-1 GenAI risk</t>
        </is>
      </c>
      <c r="B97" s="6" t="inlineStr">
        <is>
          <t>8</t>
        </is>
      </c>
      <c r="C97" s="6" t="inlineStr">
        <is>
          <t>Information Integrity</t>
        </is>
      </c>
      <c r="D97" s="6" t="inlineStr">
        <is>
          <t>AI-CTRL-039</t>
        </is>
      </c>
      <c r="E97" s="6" t="inlineStr">
        <is>
          <t>AI-R12, AI-R20</t>
        </is>
      </c>
      <c r="F97" s="6" t="inlineStr">
        <is>
          <t>Wiki mapping (Partial)</t>
        </is>
      </c>
    </row>
    <row r="98">
      <c r="A98" s="167" t="inlineStr">
        <is>
          <t>NIST AI 600-1 GenAI risk</t>
        </is>
      </c>
      <c r="B98" s="167" t="inlineStr">
        <is>
          <t>9</t>
        </is>
      </c>
      <c r="C98" s="167" t="inlineStr">
        <is>
          <t>Information Security</t>
        </is>
      </c>
      <c r="D98" s="167" t="inlineStr">
        <is>
          <t>AI-CTRL-005, AI-CTRL-028, AI-CTRL-032, AI-CTRL-034</t>
        </is>
      </c>
      <c r="E98" s="167" t="inlineStr">
        <is>
          <t>AI-R05, AI-R07, AI-R08, AI-R24</t>
        </is>
      </c>
      <c r="F98" s="167" t="inlineStr">
        <is>
          <t>Wiki mapping (Partial)</t>
        </is>
      </c>
    </row>
    <row r="99">
      <c r="A99" s="6" t="inlineStr">
        <is>
          <t>NIST AI 600-1 GenAI risk</t>
        </is>
      </c>
      <c r="B99" s="6" t="inlineStr">
        <is>
          <t>10</t>
        </is>
      </c>
      <c r="C99" s="6" t="inlineStr">
        <is>
          <t>Intellectual Property</t>
        </is>
      </c>
      <c r="D99" s="6" t="inlineStr">
        <is>
          <t>AI-CTRL-046, AI-CTRL-012</t>
        </is>
      </c>
      <c r="E99" s="6" t="inlineStr">
        <is>
          <t>AI-R27</t>
        </is>
      </c>
      <c r="F99" s="6" t="inlineStr">
        <is>
          <t>Wiki mapping (Direct)</t>
        </is>
      </c>
    </row>
    <row r="100">
      <c r="A100" s="167" t="inlineStr">
        <is>
          <t>NIST AI 600-1 GenAI risk</t>
        </is>
      </c>
      <c r="B100" s="167" t="inlineStr">
        <is>
          <t>11</t>
        </is>
      </c>
      <c r="C100" s="167" t="inlineStr">
        <is>
          <t>Obscene, Degrading, and/or Abusive Content</t>
        </is>
      </c>
      <c r="D100" s="167" t="inlineStr">
        <is>
          <t>AI-CTRL-039</t>
        </is>
      </c>
      <c r="E100" s="167" t="inlineStr">
        <is>
          <t>AI-R12</t>
        </is>
      </c>
      <c r="F100" s="167" t="inlineStr">
        <is>
          <t>Wiki mapping (Partial)</t>
        </is>
      </c>
    </row>
    <row r="101">
      <c r="A101" s="6" t="inlineStr">
        <is>
          <t>NIST AI 600-1 GenAI risk</t>
        </is>
      </c>
      <c r="B101" s="6" t="inlineStr">
        <is>
          <t>12</t>
        </is>
      </c>
      <c r="C101" s="6" t="inlineStr">
        <is>
          <t>Value Chain and Component Integration</t>
        </is>
      </c>
      <c r="D101" s="6" t="inlineStr">
        <is>
          <t>AI-CTRL-014, AI-CTRL-031, AI-CTRL-024</t>
        </is>
      </c>
      <c r="E101" s="6" t="inlineStr">
        <is>
          <t>AI-R08, AI-R23</t>
        </is>
      </c>
      <c r="F101" s="6" t="inlineStr">
        <is>
          <t>Wiki mapping (Direct)</t>
        </is>
      </c>
    </row>
  </sheetData>
  <autoFilter ref="A4:F101"/>
  <pageMargins left="0.75" right="0.75" top="1" bottom="1" header="0.5" footer="0.5"/>
</worksheet>
</file>

<file path=xl/worksheets/sheet16.xml><?xml version="1.0" encoding="utf-8"?>
<worksheet xmlns="http://schemas.openxmlformats.org/spreadsheetml/2006/main">
  <sheetPr>
    <tabColor rgb="007F7F7F"/>
    <outlinePr summaryBelow="1" summaryRight="1"/>
    <pageSetUpPr/>
  </sheetPr>
  <dimension ref="A1:P25"/>
  <sheetViews>
    <sheetView showGridLines="1" workbookViewId="0">
      <selection activeCell="A1" sqref="A1"/>
    </sheetView>
  </sheetViews>
  <sheetFormatPr baseColWidth="8" defaultRowHeight="15"/>
  <cols>
    <col width="3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 width="30" customWidth="1" min="11" max="11"/>
    <col width="30" customWidth="1" min="12" max="12"/>
    <col width="40" customWidth="1" min="14" max="14"/>
    <col width="40" customWidth="1" min="15" max="15"/>
    <col width="40" customWidth="1" min="16" max="16"/>
  </cols>
  <sheetData>
    <row r="1">
      <c r="A1" s="107" t="inlineStr">
        <is>
          <t>Domain</t>
        </is>
      </c>
      <c r="B1" s="107" t="inlineStr">
        <is>
          <t>Channel</t>
        </is>
      </c>
      <c r="C1" s="107" t="inlineStr">
        <is>
          <t>Asset</t>
        </is>
      </c>
      <c r="D1" s="107" t="inlineStr">
        <is>
          <t>Impact</t>
        </is>
      </c>
      <c r="E1" s="107" t="inlineStr">
        <is>
          <t>Coverage</t>
        </is>
      </c>
      <c r="F1" s="107" t="inlineStr">
        <is>
          <t>Approach</t>
        </is>
      </c>
      <c r="G1" s="107" t="inlineStr">
        <is>
          <t>Treatment</t>
        </is>
      </c>
      <c r="H1" s="107" t="inlineStr">
        <is>
          <t>Status</t>
        </is>
      </c>
      <c r="I1" s="107" t="inlineStr">
        <is>
          <t>Roles</t>
        </is>
      </c>
      <c r="J1" s="107" t="inlineStr">
        <is>
          <t>YesNo</t>
        </is>
      </c>
      <c r="K1" s="107" t="inlineStr">
        <is>
          <t>Rating</t>
        </is>
      </c>
      <c r="L1" s="107" t="inlineStr">
        <is>
          <t>Score</t>
        </is>
      </c>
      <c r="N1" s="107" t="inlineStr">
        <is>
          <t>Domain code</t>
        </is>
      </c>
      <c r="O1" s="107" t="inlineStr">
        <is>
          <t>Domain name</t>
        </is>
      </c>
      <c r="P1" s="107" t="inlineStr">
        <is>
          <t>Likely owner (wiki)</t>
        </is>
      </c>
    </row>
    <row r="2">
      <c r="A2" s="168" t="inlineStr">
        <is>
          <t>01</t>
        </is>
      </c>
      <c r="B2" s="169" t="inlineStr">
        <is>
          <t>Browser and workforce AI</t>
        </is>
      </c>
      <c r="C2" s="169" t="inlineStr">
        <is>
          <t>AI SaaS / workforce AI tool</t>
        </is>
      </c>
      <c r="D2" s="169" t="inlineStr">
        <is>
          <t>Confidentiality</t>
        </is>
      </c>
      <c r="E2" s="169" t="inlineStr">
        <is>
          <t>None</t>
        </is>
      </c>
      <c r="F2" s="169" t="inlineStr">
        <is>
          <t>Qualitative (4 x 4)</t>
        </is>
      </c>
      <c r="G2" s="169" t="inlineStr">
        <is>
          <t>Mitigate</t>
        </is>
      </c>
      <c r="H2" s="169" t="inlineStr">
        <is>
          <t>Open</t>
        </is>
      </c>
      <c r="I2" s="169" t="inlineStr">
        <is>
          <t>Governing body</t>
        </is>
      </c>
      <c r="J2" s="169" t="inlineStr">
        <is>
          <t>Yes</t>
        </is>
      </c>
      <c r="K2" s="169" t="inlineStr">
        <is>
          <t>Low</t>
        </is>
      </c>
      <c r="L2" s="169" t="n">
        <v>1</v>
      </c>
      <c r="N2" s="168" t="inlineStr">
        <is>
          <t>01</t>
        </is>
      </c>
      <c r="O2" s="169" t="inlineStr">
        <is>
          <t>AI Governance and Accountability</t>
        </is>
      </c>
      <c r="P2" s="169" t="inlineStr">
        <is>
          <t>AI governance committee, chief risk officer</t>
        </is>
      </c>
    </row>
    <row r="3">
      <c r="A3" s="168" t="inlineStr">
        <is>
          <t>02</t>
        </is>
      </c>
      <c r="B3" s="169" t="inlineStr">
        <is>
          <t>IDE AI (coding assistants)</t>
        </is>
      </c>
      <c r="C3" s="169" t="inlineStr">
        <is>
          <t>AI coding assistant</t>
        </is>
      </c>
      <c r="D3" s="169" t="inlineStr">
        <is>
          <t>Integrity</t>
        </is>
      </c>
      <c r="E3" s="169" t="inlineStr">
        <is>
          <t>Weak</t>
        </is>
      </c>
      <c r="F3" s="169" t="inlineStr">
        <is>
          <t>Quantified (e.g. FAIR)</t>
        </is>
      </c>
      <c r="G3" s="169" t="inlineStr">
        <is>
          <t>Avoid</t>
        </is>
      </c>
      <c r="H3" s="169" t="inlineStr">
        <is>
          <t>In progress</t>
        </is>
      </c>
      <c r="I3" s="169" t="inlineStr">
        <is>
          <t>Accountable executive</t>
        </is>
      </c>
      <c r="J3" s="169" t="inlineStr">
        <is>
          <t>No</t>
        </is>
      </c>
      <c r="K3" s="169" t="inlineStr">
        <is>
          <t>Medium</t>
        </is>
      </c>
      <c r="L3" s="169" t="n">
        <v>2</v>
      </c>
      <c r="N3" s="168" t="inlineStr">
        <is>
          <t>02</t>
        </is>
      </c>
      <c r="O3" s="169" t="inlineStr">
        <is>
          <t>Strategy and Value Realization</t>
        </is>
      </c>
      <c r="P3" s="169" t="inlineStr">
        <is>
          <t>Executive sponsor, business owners</t>
        </is>
      </c>
    </row>
    <row r="4">
      <c r="A4" s="168" t="inlineStr">
        <is>
          <t>03</t>
        </is>
      </c>
      <c r="B4" s="169" t="inlineStr">
        <is>
          <t>AI APIs</t>
        </is>
      </c>
      <c r="C4" s="169" t="inlineStr">
        <is>
          <t>Foundation model or model API</t>
        </is>
      </c>
      <c r="D4" s="169" t="inlineStr">
        <is>
          <t>Availability</t>
        </is>
      </c>
      <c r="E4" s="169" t="inlineStr">
        <is>
          <t>Partial</t>
        </is>
      </c>
      <c r="F4" s="169" t="inlineStr">
        <is>
          <t>Narrative with indicators</t>
        </is>
      </c>
      <c r="G4" s="169" t="inlineStr">
        <is>
          <t>Transfer</t>
        </is>
      </c>
      <c r="H4" s="169" t="inlineStr">
        <is>
          <t>Mitigated - verifying</t>
        </is>
      </c>
      <c r="I4" s="169" t="inlineStr">
        <is>
          <t>AI Governance Committee</t>
        </is>
      </c>
      <c r="K4" s="169" t="inlineStr">
        <is>
          <t>High</t>
        </is>
      </c>
      <c r="L4" s="169" t="n">
        <v>3</v>
      </c>
      <c r="N4" s="168" t="inlineStr">
        <is>
          <t>03</t>
        </is>
      </c>
      <c r="O4" s="169" t="inlineStr">
        <is>
          <t>Data and Privacy</t>
        </is>
      </c>
      <c r="P4" s="169" t="inlineStr">
        <is>
          <t>Data protection officer, data owners</t>
        </is>
      </c>
    </row>
    <row r="5">
      <c r="A5" s="168" t="inlineStr">
        <is>
          <t>04</t>
        </is>
      </c>
      <c r="B5" s="169" t="inlineStr">
        <is>
          <t>Custom AI applications (incl. RAG)</t>
        </is>
      </c>
      <c r="C5" s="169" t="inlineStr">
        <is>
          <t>Self-hosted or open-weight model</t>
        </is>
      </c>
      <c r="D5" s="169" t="inlineStr">
        <is>
          <t>Compliance</t>
        </is>
      </c>
      <c r="E5" s="169" t="inlineStr">
        <is>
          <t>Effective</t>
        </is>
      </c>
      <c r="G5" s="169" t="inlineStr">
        <is>
          <t>Accept</t>
        </is>
      </c>
      <c r="H5" s="169" t="inlineStr">
        <is>
          <t>Transferred</t>
        </is>
      </c>
      <c r="I5" s="169" t="inlineStr">
        <is>
          <t>Chief Risk Officer</t>
        </is>
      </c>
      <c r="K5" s="169" t="inlineStr">
        <is>
          <t>Critical</t>
        </is>
      </c>
      <c r="L5" s="169" t="n">
        <v>4</v>
      </c>
      <c r="N5" s="168" t="inlineStr">
        <is>
          <t>04</t>
        </is>
      </c>
      <c r="O5" s="169" t="inlineStr">
        <is>
          <t>Model Development and Performance</t>
        </is>
      </c>
      <c r="P5" s="169" t="inlineStr">
        <is>
          <t>Model owners, model risk management</t>
        </is>
      </c>
    </row>
    <row r="6">
      <c r="A6" s="168" t="inlineStr">
        <is>
          <t>05</t>
        </is>
      </c>
      <c r="B6" s="169" t="inlineStr">
        <is>
          <t>Agents</t>
        </is>
      </c>
      <c r="C6" s="169" t="inlineStr">
        <is>
          <t>Custom AI application</t>
        </is>
      </c>
      <c r="D6" s="169" t="inlineStr">
        <is>
          <t>Operational continuity</t>
        </is>
      </c>
      <c r="H6" s="169" t="inlineStr">
        <is>
          <t>Accepted</t>
        </is>
      </c>
      <c r="I6" s="169" t="inlineStr">
        <is>
          <t>CISO</t>
        </is>
      </c>
      <c r="N6" s="168" t="inlineStr">
        <is>
          <t>05</t>
        </is>
      </c>
      <c r="O6" s="169" t="inlineStr">
        <is>
          <t>Security and Adversarial Threats</t>
        </is>
      </c>
      <c r="P6" s="169" t="inlineStr">
        <is>
          <t>CISO</t>
        </is>
      </c>
    </row>
    <row r="7">
      <c r="A7" s="168" t="inlineStr">
        <is>
          <t>06</t>
        </is>
      </c>
      <c r="B7" s="169" t="inlineStr">
        <is>
          <t>Vendors and embedded AI</t>
        </is>
      </c>
      <c r="C7" s="169" t="inlineStr">
        <is>
          <t>RAG knowledge source / vector store</t>
        </is>
      </c>
      <c r="D7" s="169" t="inlineStr">
        <is>
          <t>Reputation</t>
        </is>
      </c>
      <c r="H7" s="169" t="inlineStr">
        <is>
          <t>Closed</t>
        </is>
      </c>
      <c r="I7" s="169" t="inlineStr">
        <is>
          <t>Data Protection Officer</t>
        </is>
      </c>
      <c r="N7" s="168" t="inlineStr">
        <is>
          <t>06</t>
        </is>
      </c>
      <c r="O7" s="169" t="inlineStr">
        <is>
          <t>Safety, Ethics and Responsible AI</t>
        </is>
      </c>
      <c r="P7" s="169" t="inlineStr">
        <is>
          <t>Responsible AI lead, product owners</t>
        </is>
      </c>
    </row>
    <row r="8">
      <c r="A8" s="168" t="inlineStr">
        <is>
          <t>07</t>
        </is>
      </c>
      <c r="B8" s="169" t="inlineStr">
        <is>
          <t>Model development and training</t>
        </is>
      </c>
      <c r="C8" s="169" t="inlineStr">
        <is>
          <t>AI agent</t>
        </is>
      </c>
      <c r="D8" s="169" t="inlineStr">
        <is>
          <t>Critical infrastructure</t>
        </is>
      </c>
      <c r="I8" s="169" t="inlineStr">
        <is>
          <t>Data Owner</t>
        </is>
      </c>
      <c r="N8" s="168" t="inlineStr">
        <is>
          <t>07</t>
        </is>
      </c>
      <c r="O8" s="169" t="inlineStr">
        <is>
          <t>Operations and Resilience</t>
        </is>
      </c>
      <c r="P8" s="169" t="inlineStr">
        <is>
          <t>AI platform owner, IT operations</t>
        </is>
      </c>
    </row>
    <row r="9">
      <c r="A9" s="168" t="inlineStr">
        <is>
          <t>08</t>
        </is>
      </c>
      <c r="B9" s="169" t="inlineStr">
        <is>
          <t>Enterprise-wide / non-technical</t>
        </is>
      </c>
      <c r="C9" s="169" t="inlineStr">
        <is>
          <t>Tool, plugin, skill or MCP server</t>
        </is>
      </c>
      <c r="D9" s="169" t="inlineStr">
        <is>
          <t>Financial</t>
        </is>
      </c>
      <c r="I9" s="169" t="inlineStr">
        <is>
          <t>Model Risk Management</t>
        </is>
      </c>
      <c r="N9" s="168" t="inlineStr">
        <is>
          <t>08</t>
        </is>
      </c>
      <c r="O9" s="169" t="inlineStr">
        <is>
          <t>Legal, Regulatory and Compliance</t>
        </is>
      </c>
      <c r="P9" s="169" t="inlineStr">
        <is>
          <t>General counsel, compliance</t>
        </is>
      </c>
    </row>
    <row r="10">
      <c r="A10" s="168" t="inlineStr">
        <is>
          <t>09</t>
        </is>
      </c>
      <c r="C10" s="169" t="inlineStr">
        <is>
          <t>Training or fine-tuning data</t>
        </is>
      </c>
      <c r="D10" s="169" t="inlineStr">
        <is>
          <t>Rights, safety or wellbeing of people</t>
        </is>
      </c>
      <c r="I10" s="169" t="inlineStr">
        <is>
          <t>Responsible AI Lead</t>
        </is>
      </c>
      <c r="N10" s="168" t="inlineStr">
        <is>
          <t>09</t>
        </is>
      </c>
      <c r="O10" s="169" t="inlineStr">
        <is>
          <t>Third-Party and Model Supply Chain</t>
        </is>
      </c>
      <c r="P10" s="169" t="inlineStr">
        <is>
          <t>Procurement, third-party risk</t>
        </is>
      </c>
    </row>
    <row r="11">
      <c r="A11" s="168" t="inlineStr">
        <is>
          <t>10</t>
        </is>
      </c>
      <c r="C11" s="169" t="inlineStr">
        <is>
          <t>ML pipeline / model registry</t>
        </is>
      </c>
      <c r="D11" s="169" t="inlineStr">
        <is>
          <t>Multiple</t>
        </is>
      </c>
      <c r="I11" s="169" t="inlineStr">
        <is>
          <t>AI Product Owner</t>
        </is>
      </c>
      <c r="N11" s="168" t="inlineStr">
        <is>
          <t>10</t>
        </is>
      </c>
      <c r="O11" s="169" t="inlineStr">
        <is>
          <t>Workforce, Human and Societal</t>
        </is>
      </c>
      <c r="P11" s="169" t="inlineStr">
        <is>
          <t>HR, communications</t>
        </is>
      </c>
    </row>
    <row r="12">
      <c r="A12" s="168" t="inlineStr">
        <is>
          <t>11</t>
        </is>
      </c>
      <c r="C12" s="169" t="inlineStr">
        <is>
          <t>AI infrastructure (compute, serving)</t>
        </is>
      </c>
      <c r="I12" s="169" t="inlineStr">
        <is>
          <t>AI Platform Owner</t>
        </is>
      </c>
      <c r="N12" s="168" t="inlineStr">
        <is>
          <t>11</t>
        </is>
      </c>
      <c r="O12" s="169" t="inlineStr">
        <is>
          <t>Financial and Resource</t>
        </is>
      </c>
      <c r="P12" s="169" t="inlineStr">
        <is>
          <t>CFO, FinOps</t>
        </is>
      </c>
    </row>
    <row r="13">
      <c r="A13" s="168" t="inlineStr">
        <is>
          <t>12</t>
        </is>
      </c>
      <c r="C13" s="169" t="inlineStr">
        <is>
          <t>Third-party product with embedded AI</t>
        </is>
      </c>
      <c r="I13" s="169" t="inlineStr">
        <is>
          <t>Agent Sponsor</t>
        </is>
      </c>
      <c r="N13" s="168" t="inlineStr">
        <is>
          <t>12</t>
        </is>
      </c>
      <c r="O13" s="169" t="inlineStr">
        <is>
          <t>Autonomy and Delegated Action (Agentic AI)</t>
        </is>
      </c>
      <c r="P13" s="169" t="inlineStr">
        <is>
          <t>Agent sponsors, AI platform owner</t>
        </is>
      </c>
    </row>
    <row r="14">
      <c r="C14" s="169" t="inlineStr">
        <is>
          <t>AI prompts, outputs, logs and records</t>
        </is>
      </c>
      <c r="I14" s="169" t="inlineStr">
        <is>
          <t>Security Architecture</t>
        </is>
      </c>
    </row>
    <row r="15">
      <c r="C15" s="169" t="inlineStr">
        <is>
          <t>People, roles and processes</t>
        </is>
      </c>
      <c r="I15" s="169" t="inlineStr">
        <is>
          <t>GRC / Compliance</t>
        </is>
      </c>
    </row>
    <row r="16">
      <c r="C16" s="169" t="inlineStr">
        <is>
          <t>AI strategy, budget or portfolio</t>
        </is>
      </c>
      <c r="I16" s="169" t="inlineStr">
        <is>
          <t>Data Protection / DLP</t>
        </is>
      </c>
    </row>
    <row r="17">
      <c r="C17" s="169" t="inlineStr">
        <is>
          <t>Enterprise-wide</t>
        </is>
      </c>
      <c r="I17" s="169" t="inlineStr">
        <is>
          <t>AppSec / DevSecOps</t>
        </is>
      </c>
    </row>
    <row r="18">
      <c r="I18" s="169" t="inlineStr">
        <is>
          <t>SOC</t>
        </is>
      </c>
    </row>
    <row r="19">
      <c r="I19" s="169" t="inlineStr">
        <is>
          <t>Procurement / Legal</t>
        </is>
      </c>
    </row>
    <row r="20">
      <c r="I20" s="169" t="inlineStr">
        <is>
          <t>General Counsel</t>
        </is>
      </c>
    </row>
    <row r="21">
      <c r="I21" s="169" t="inlineStr">
        <is>
          <t>HR</t>
        </is>
      </c>
    </row>
    <row r="22">
      <c r="I22" s="169" t="inlineStr">
        <is>
          <t>Communications</t>
        </is>
      </c>
    </row>
    <row r="23">
      <c r="I23" s="169" t="inlineStr">
        <is>
          <t>CFO / FinOps</t>
        </is>
      </c>
    </row>
    <row r="24">
      <c r="I24" s="169" t="inlineStr">
        <is>
          <t>Executive Sponsor</t>
        </is>
      </c>
    </row>
    <row r="25">
      <c r="I25" s="169" t="inlineStr">
        <is>
          <t>Business Owner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Nachiket Sathaye; Ankush Jain</dc:creator>
  <dc:title xmlns:dc="http://purl.org/dc/elements/1.1/">AI Risk Register Workbook</dc:title>
  <dc:description xmlns:dc="http://purl.org/dc/elements/1.1/">Copyright (c) 2026 Nachiket Sathaye and Ankush Jain. Licensed under CC BY-SA 4.0: https://creativecommons.org/licenses/by-sa/4.0/. Source: https://nachi065.github.io/AI-Security-Wiki/</dc:description>
  <dc:subject xmlns:dc="http://purl.org/dc/elements/1.1/">Enterprise AI risk register built from the AI Security Wiki</dc:subject>
  <dcterms:created xmlns:dcterms="http://purl.org/dc/terms/" xmlns:xsi="http://www.w3.org/2001/XMLSchema-instance" xsi:type="dcterms:W3CDTF">2026-10-29T19:28:25Z</dcterms:created>
  <dcterms:modified xmlns:dcterms="http://purl.org/dc/terms/" xmlns:xsi="http://www.w3.org/2001/XMLSchema-instance" xsi:type="dcterms:W3CDTF">2026-10-29T19:28:27Z</dcterms:modified>
  <cp:lastModifiedBy>Nachiket Sathaye</cp:lastModifiedBy>
  <cp:category>Risk management</cp:category>
  <cp:keywords>AI risk register; AI security; CC BY-SA 4.0</cp:keywords>
</cp:coreProperties>
</file>

<file path=docProps/custom.xml><?xml version="1.0" encoding="utf-8"?>
<Properties xmlns="http://schemas.openxmlformats.org/officeDocument/2006/custom-properties">
  <property name="License" fmtid="{D5CDD505-2E9C-101B-9397-08002B2CF9AE}" pid="2">
    <vt:lpwstr xmlns:vt="http://schemas.openxmlformats.org/officeDocument/2006/docPropsVTypes">CC BY-SA 4.0</vt:lpwstr>
  </property>
  <property name="License URL" fmtid="{D5CDD505-2E9C-101B-9397-08002B2CF9AE}" pid="3">
    <vt:lpwstr xmlns:vt="http://schemas.openxmlformats.org/officeDocument/2006/docPropsVTypes">https://creativecommons.org/licenses/by-sa/4.0/</vt:lpwstr>
  </property>
  <property name="Copyright" fmtid="{D5CDD505-2E9C-101B-9397-08002B2CF9AE}" pid="4">
    <vt:lpwstr xmlns:vt="http://schemas.openxmlformats.org/officeDocument/2006/docPropsVTypes">Copyright (c) 2026 Nachiket Sathaye and Ankush Jain</vt:lpwstr>
  </property>
  <property name="Source" fmtid="{D5CDD505-2E9C-101B-9397-08002B2CF9AE}" pid="5">
    <vt:lpwstr xmlns:vt="http://schemas.openxmlformats.org/officeDocument/2006/docPropsVTypes">https://nachi065.github.io/AI-Security-Wiki/</vt:lpwstr>
  </property>
</Properties>
</file>